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Equity QTD-3" sheetId="6" r:id="rId6"/>
    <sheet name="Equity YTD-4" sheetId="7" r:id="rId7"/>
    <sheet name="(9)Equity YTD4" sheetId="8" state="hidden"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7">'(9)Equity YTD4'!$A$1:$G$62</definedName>
    <definedName name="_xlnm.Print_Area" localSheetId="8">'Earned Incurred QTD-5'!$A$1:$D$54</definedName>
    <definedName name="_xlnm.Print_Area" localSheetId="11">'Earned Incurred YTD-6'!$A$1:$D$54</definedName>
    <definedName name="_xlnm.Print_Area" localSheetId="5">'Equity QTD-3'!$A$1:$G$54</definedName>
    <definedName name="_xlnm.Print_Area" localSheetId="6">'Equity YTD-4'!$A$1:$G$54</definedName>
    <definedName name="_xlnm.Print_Area" localSheetId="2">'EXPENSES (p11)'!$A$1:$T$76</definedName>
    <definedName name="_xlnm.Print_Area" localSheetId="21">'IBNR JE2'!$A$1:$E$25</definedName>
    <definedName name="_xlnm.Print_Area" localSheetId="4">'Income Statement-2'!$A$1:$E$33</definedName>
    <definedName name="_xlnm.Print_Area" localSheetId="16">'Loss Expenses QTD-11'!$A$1:$G$31</definedName>
    <definedName name="_xlnm.Print_Area" localSheetId="17">'Loss Expenses YTD-12'!$A$1:$G$31</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<sst xmlns="http://schemas.openxmlformats.org/spreadsheetml/2006/main" count="1124" uniqueCount="499">
  <si>
    <t>3Q04</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</si>
  <si>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seven quarters:</t>
  </si>
  <si>
    <t>2Q04</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</si>
  <si>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</si>
  <si>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</si>
  <si>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</si>
  <si>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</si>
  <si>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</si>
  <si>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</si>
  <si>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</si>
  <si>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</si>
  <si>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</si>
  <si>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</si>
  <si>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</si>
  <si>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</si>
  <si>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</si>
  <si>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</si>
  <si>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</si>
  <si>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</si>
  <si>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</si>
  <si>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</si>
  <si>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</si>
  <si>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</si>
  <si>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</si>
  <si>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</si>
  <si>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</si>
  <si>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</si>
  <si>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</si>
  <si>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</si>
  <si>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</si>
  <si>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</si>
  <si>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</si>
  <si>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</si>
  <si>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</si>
  <si>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</si>
  <si>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</si>
  <si>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</si>
  <si>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</si>
  <si>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</si>
  <si>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</si>
  <si>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</si>
  <si>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</si>
  <si>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</si>
  <si>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</si>
  <si>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</si>
  <si>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</si>
  <si>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</si>
  <si>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</si>
  <si>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</si>
  <si>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</si>
  <si>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</si>
  <si>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</si>
  <si>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</si>
  <si>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</si>
  <si>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</si>
  <si>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</si>
  <si>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</si>
  <si>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</si>
  <si>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</si>
  <si>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</si>
  <si>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</si>
  <si>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</si>
  <si>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</si>
  <si>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</si>
  <si>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</si>
  <si>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</si>
  <si>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</si>
  <si>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</si>
  <si>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</si>
  <si>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</si>
  <si>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</si>
  <si>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</si>
  <si>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</si>
  <si>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</si>
  <si>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</si>
  <si>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</si>
  <si>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</si>
  <si>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1Q04</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</si>
  <si>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</si>
  <si>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</si>
  <si>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</si>
  <si>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</si>
  <si>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</si>
  <si>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</si>
  <si>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</si>
  <si>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</si>
  <si>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</si>
  <si>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</si>
  <si>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</si>
  <si>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</si>
  <si>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</si>
  <si>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</si>
  <si>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</si>
  <si>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</si>
  <si>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</si>
  <si>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</si>
  <si>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</si>
  <si>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</si>
  <si>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</si>
  <si>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</si>
  <si>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</si>
  <si>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</si>
  <si>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</si>
  <si>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</si>
  <si>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</si>
  <si>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</si>
  <si>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</si>
  <si>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</si>
  <si>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</si>
  <si>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</si>
  <si>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</si>
  <si>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</si>
  <si>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</si>
  <si>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</si>
  <si>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</si>
  <si>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</si>
  <si>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</si>
  <si>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</si>
  <si>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</si>
  <si>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</si>
  <si>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</si>
  <si>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</si>
  <si>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</si>
  <si>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</si>
  <si>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</si>
  <si>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</si>
  <si>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</si>
  <si>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</si>
  <si>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</si>
  <si>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</si>
  <si>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</si>
  <si>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</si>
  <si>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</si>
  <si>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</si>
  <si>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</si>
  <si>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</si>
  <si>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</si>
  <si>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</si>
  <si>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</si>
  <si>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</si>
  <si>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</si>
  <si>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</si>
  <si>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</si>
  <si>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</si>
  <si>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</si>
  <si>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</si>
  <si>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</si>
  <si>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</si>
  <si>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</si>
  <si>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</si>
  <si>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</si>
  <si>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</si>
  <si>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</si>
  <si>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</si>
  <si>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</si>
  <si>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</si>
  <si>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</si>
  <si>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</si>
  <si>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</si>
  <si>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</si>
  <si>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</si>
  <si>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</si>
  <si>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</si>
  <si>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</si>
  <si>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</si>
  <si>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</si>
  <si>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</si>
  <si>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</si>
  <si>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</si>
  <si>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</si>
  <si>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</si>
  <si>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</si>
  <si>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</si>
  <si>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</si>
  <si>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</si>
  <si>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</si>
  <si>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</si>
  <si>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</si>
  <si>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</si>
  <si>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</si>
  <si>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</si>
  <si>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</si>
  <si>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</si>
  <si>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</si>
  <si>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</si>
  <si>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</si>
  <si>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</si>
  <si>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</si>
  <si>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</si>
  <si>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</si>
  <si>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</si>
  <si>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</si>
  <si>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</si>
  <si>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</si>
  <si>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</si>
  <si>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PRIOR LOSS RESERVES (12-31-03)</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</si>
  <si>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</si>
  <si>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</si>
  <si>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</si>
  <si>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</si>
  <si>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</si>
  <si>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</si>
  <si>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</si>
  <si>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</si>
  <si>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</si>
  <si>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</si>
  <si>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</si>
  <si>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</si>
  <si>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</si>
  <si>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</si>
  <si>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</si>
  <si>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</si>
  <si>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</si>
  <si>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POLICY YEAR 2000 &amp; PRIOR</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</si>
  <si>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</si>
  <si>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</si>
  <si>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</si>
  <si>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</si>
  <si>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</si>
  <si>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</si>
  <si>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</si>
  <si>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</si>
  <si>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</si>
  <si>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</si>
  <si>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</si>
  <si>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</si>
  <si>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</si>
  <si>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</si>
  <si>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</si>
  <si>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</si>
  <si>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</si>
  <si>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</si>
  <si>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</si>
  <si>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</si>
  <si>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</si>
  <si>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</si>
  <si>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</si>
  <si>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</si>
  <si>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</si>
  <si>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</si>
  <si>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</si>
  <si>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</si>
  <si>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</si>
  <si>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</si>
  <si>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</si>
  <si>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</si>
  <si>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</si>
  <si>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</si>
  <si>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</si>
  <si>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</si>
  <si>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</si>
  <si>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</si>
  <si>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</si>
  <si>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</si>
  <si>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</si>
  <si>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</si>
  <si>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</si>
  <si>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</si>
  <si>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</si>
  <si>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</si>
  <si>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</si>
  <si>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</si>
  <si>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</si>
  <si>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</si>
  <si>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</si>
  <si>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</si>
  <si>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</si>
  <si>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</si>
  <si>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</si>
  <si>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</si>
  <si>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</si>
  <si>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</si>
  <si>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</si>
  <si>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</si>
  <si>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</si>
  <si>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</si>
  <si>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</si>
  <si>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</si>
  <si>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</si>
  <si>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</si>
  <si>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</si>
  <si>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</si>
  <si>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</si>
  <si>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</si>
  <si>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</si>
  <si>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</si>
  <si>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</si>
  <si>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</si>
  <si>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</si>
  <si>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</si>
  <si>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</si>
  <si>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</si>
  <si>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</si>
  <si>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</si>
  <si>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</si>
  <si>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</si>
  <si>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</si>
  <si>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</si>
  <si>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</si>
  <si>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</si>
  <si>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</si>
  <si>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</si>
  <si>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</si>
  <si>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</si>
  <si>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</si>
  <si>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</si>
  <si>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</si>
  <si>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</si>
  <si>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</si>
  <si>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</si>
  <si>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</si>
  <si>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</si>
  <si>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</si>
  <si>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</si>
  <si>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</si>
  <si>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</si>
  <si>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</si>
  <si>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</si>
  <si>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</si>
  <si>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</si>
  <si>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</si>
  <si>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</si>
  <si>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</si>
  <si>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</si>
  <si>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</si>
  <si>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</si>
  <si>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</si>
  <si>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</si>
  <si>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</si>
  <si>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</si>
  <si>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</si>
  <si>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</si>
  <si>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</si>
  <si>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</si>
  <si>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</si>
  <si>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</si>
  <si>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</si>
  <si>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</si>
  <si>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</si>
  <si>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</si>
  <si>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</si>
  <si>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</si>
  <si>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</si>
  <si>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</si>
  <si>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</si>
  <si>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</si>
  <si>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</si>
  <si>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</si>
  <si>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</si>
  <si>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</si>
  <si>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</si>
  <si>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</si>
  <si>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</si>
  <si>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</si>
  <si>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</si>
  <si>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</si>
  <si>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</si>
  <si>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</si>
  <si>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</si>
  <si>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</si>
  <si>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</si>
  <si>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</si>
  <si>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</si>
  <si>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</si>
  <si>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</si>
  <si>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</si>
  <si>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</si>
  <si>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</si>
  <si>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</si>
  <si>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</si>
  <si>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</si>
  <si>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</si>
  <si>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</si>
  <si>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</si>
  <si>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</si>
  <si>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</si>
  <si>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</si>
  <si>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</si>
  <si>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</si>
  <si>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</si>
  <si>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</si>
  <si>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</si>
  <si>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</si>
  <si>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</si>
  <si>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</si>
  <si>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</si>
  <si>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</si>
  <si>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</si>
  <si>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</si>
  <si>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</si>
  <si>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</si>
  <si>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</si>
  <si>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</si>
  <si>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</si>
  <si>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</si>
  <si>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</si>
  <si>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</si>
  <si>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</si>
  <si>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</si>
  <si>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</si>
  <si>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</si>
  <si>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</si>
  <si>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</si>
  <si>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</si>
  <si>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</si>
  <si>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</si>
  <si>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</si>
  <si>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</si>
  <si>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</si>
  <si>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</si>
  <si>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</si>
  <si>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</si>
  <si>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</si>
  <si>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</si>
  <si>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</si>
  <si>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</si>
  <si>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</si>
  <si>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</si>
  <si>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</si>
  <si>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</si>
  <si>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</si>
  <si>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</si>
  <si>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</si>
  <si>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</si>
  <si>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</si>
  <si>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</si>
  <si>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</si>
  <si>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</si>
  <si>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</si>
  <si>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</si>
  <si>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</si>
  <si>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</si>
  <si>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</si>
  <si>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</si>
  <si>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</si>
  <si>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</si>
  <si>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</si>
  <si>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</si>
  <si>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</si>
  <si>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</si>
  <si>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</si>
  <si>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</si>
  <si>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</si>
  <si>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</si>
  <si>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</si>
  <si>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</si>
  <si>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</si>
  <si>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</si>
  <si>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</si>
  <si>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</si>
  <si>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</si>
  <si>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</si>
  <si>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</si>
  <si>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</si>
  <si>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</si>
  <si>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 xml:space="preserve">      SUNDRY RECEIVABLE</t>
  </si>
  <si>
    <t>Akleema Satar - Accountant</t>
  </si>
  <si>
    <t>BID:</t>
  </si>
  <si>
    <t>Explanation:</t>
  </si>
  <si>
    <t>QTR-ULEP</t>
  </si>
  <si>
    <t xml:space="preserve">3Q02 ULE Paid - QTD </t>
  </si>
  <si>
    <t>ULEP3Q02PH</t>
  </si>
  <si>
    <t>Commissions Expense Paid</t>
  </si>
  <si>
    <t>Total TRIA</t>
  </si>
  <si>
    <t>(Including IBNR Reserves)</t>
  </si>
  <si>
    <t>*Note: Beginning January 1, 2004, the Association engaged the services of a consulting actuary to provide IBNR and loss adjustment expense reserves.</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</si>
  <si>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</si>
  <si>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</si>
  <si>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</si>
  <si>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</si>
  <si>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</si>
  <si>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</si>
  <si>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</si>
  <si>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r>
      <t xml:space="preserve">                                                 </t>
    </r>
    <r>
      <rPr>
        <b/>
        <sz val="9"/>
        <rFont val="Century Schoolbook"/>
        <family val="1"/>
      </rPr>
      <t>1Q03</t>
    </r>
    <r>
      <rPr>
        <sz val="9"/>
        <rFont val="Century Schoolbook"/>
        <family val="1"/>
      </rPr>
      <t xml:space="preserve">                                      478,783</t>
    </r>
  </si>
  <si>
    <r>
      <t xml:space="preserve">                                                 </t>
    </r>
    <r>
      <rPr>
        <b/>
        <sz val="9"/>
        <rFont val="Century Schoolbook"/>
        <family val="1"/>
      </rPr>
      <t>2Q03</t>
    </r>
    <r>
      <rPr>
        <sz val="9"/>
        <rFont val="Century Schoolbook"/>
        <family val="1"/>
      </rPr>
      <t xml:space="preserve">                                     487,924</t>
    </r>
  </si>
  <si>
    <r>
      <t xml:space="preserve">                                                </t>
    </r>
    <r>
      <rPr>
        <b/>
        <sz val="9"/>
        <rFont val="Century Schoolbook"/>
        <family val="1"/>
      </rPr>
      <t>3Q03</t>
    </r>
    <r>
      <rPr>
        <sz val="9"/>
        <rFont val="Century Schoolbook"/>
        <family val="1"/>
      </rPr>
      <t xml:space="preserve">                                      509,815</t>
    </r>
  </si>
  <si>
    <r>
      <t xml:space="preserve">                                                </t>
    </r>
    <r>
      <rPr>
        <b/>
        <sz val="9"/>
        <rFont val="Century Schoolbook"/>
        <family val="1"/>
      </rPr>
      <t>4Q03</t>
    </r>
    <r>
      <rPr>
        <sz val="9"/>
        <rFont val="Century Schoolbook"/>
        <family val="1"/>
      </rPr>
      <t xml:space="preserve">                                      508,338</t>
    </r>
  </si>
  <si>
    <t>PRIOR UNEARNED PREMIUM RESERVE                     @ 12-31-03</t>
  </si>
  <si>
    <t>LOSS EXPENSES PAID                                     (ALAE AND ULAE)</t>
  </si>
  <si>
    <t>PRIOR LOSS  EXPENSE RESERVES                     @ 12-31-03</t>
  </si>
  <si>
    <t>LOSS EXPENSES PAID                                      (ALAE AND ULAE)</t>
  </si>
  <si>
    <t>AT SEPTEMBER 30, 2004</t>
  </si>
  <si>
    <t xml:space="preserve">     NET EQUITY AT SEPTEMBER 30, 2004</t>
  </si>
  <si>
    <t>NET EQUITY AT SEPTEMBER 30,  2004</t>
  </si>
  <si>
    <t>QTD PERIOD ENDED SEPTEMBER 30, 2004</t>
  </si>
  <si>
    <t>YTD PERIOD ENDED SEPTEMBER 30, 2004</t>
  </si>
  <si>
    <t>QTD PERIOD ENDING SEPTEMBER 30, 2004</t>
  </si>
  <si>
    <t>9-30-04</t>
  </si>
  <si>
    <t>YTD PERIOD ENDING SEPTEMBER 30, 2004</t>
  </si>
  <si>
    <t>CURRENT UNEARNED PREMIUM RESERVE              @ 9-30-04</t>
  </si>
  <si>
    <t>PRIOR UNEARNED PREMIUM RESERVE                     @ 6-30-04</t>
  </si>
  <si>
    <t>CURRENT CASE BASIS RESERVES (9-30-04)</t>
  </si>
  <si>
    <t>CURRENT I.B.N.R. RESERVES (9-30-04)</t>
  </si>
  <si>
    <t>PRIOR LOSS RESERVES (6-30-04)</t>
  </si>
  <si>
    <t>CURRENT LOSS EXPENSE RESERVES                @ 9-30-04</t>
  </si>
  <si>
    <t>PRIOR LOSS  EXPENSE RESERVES                     @ 6-30-04</t>
  </si>
  <si>
    <t>CURRENT LOSS EXPENSE RESERVES               @ 9-30-04</t>
  </si>
  <si>
    <t xml:space="preserve">     CASH &amp; CASH EQUIVALENTS</t>
  </si>
  <si>
    <t xml:space="preserve">     SHORT-TERM INVESTMENTS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</si>
</sst>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quot;$&quot;#,##0.0_);\(&quot;$&quot;#,##0.0\)"/>
    <numFmt numFmtId="174" formatCode="_(* #,##0.0_);_(* \(#,##0.0\);_(* &quot;-&quot;??_);_(@_)"/>
    <numFmt numFmtId="175" formatCode="_(* #,##0.000_);_(* \(#,##0.000\);_(* &quot;-&quot;??_);_(@_)"/>
    <numFmt numFmtId="176" formatCode="_(* #,##0.0_);_(* \(#,##0.0\);_(* &quot;-&quot;_);_(@_)"/>
    <numFmt numFmtId="177" formatCode="0.00000%"/>
    <numFmt numFmtId="178" formatCode="0.0"/>
    <numFmt numFmtId="179" formatCode="_(&quot;$&quot;* #,##0.0_);_(&quot;$&quot;* \(#,##0.0\);_(&quot;$&quot;* &quot;-&quot;??_);_(@_)"/>
    <numFmt numFmtId="180" formatCode="0.0%"/>
    <numFmt numFmtId="181" formatCode="#,##0.000_);[Red]\(#,##0.000\)"/>
    <numFmt numFmtId="182" formatCode="#,##0.0000_);[Red]\(#,##0.0000\)"/>
    <numFmt numFmtId="183" formatCode="#,##0_);[Red]\(#,##0_)"/>
    <numFmt numFmtId="184" formatCode="_(* #,##0.0_);_(* \(#,##0.0\);_(* &quot;-&quot;?_);_(@_)"/>
    <numFmt numFmtId="185" formatCode="#,##0.0000000000_);\(#,##0.0000000000\)"/>
    <numFmt numFmtId="186" formatCode="_(* #,##0.00000_);_(* \(#,##0.00000\);_(* &quot;-&quot;_);_(@_)"/>
    <numFmt numFmtId="187" formatCode="#,##0.000000000_);[Red]\(#,##0.000000000\)"/>
    <numFmt numFmtId="188" formatCode="#,##0.0"/>
    <numFmt numFmtId="189" formatCode="_(* #,##0.0000_);_(* \(#,##0.0000\);_(* &quot;-&quot;??_);_(@_)"/>
    <numFmt numFmtId="190" formatCode="&quot;$&quot;#,##0.000_);[Red]\(&quot;$&quot;#,##0.000\)"/>
    <numFmt numFmtId="191" formatCode="&quot;$&quot;#,##0.0_);[Red]\(&quot;$&quot;#,##0.0\)"/>
    <numFmt numFmtId="192" formatCode="#,##0.0_);\(#,##0.0\)"/>
    <numFmt numFmtId="193" formatCode="&quot;$&quot;#,##0.0"/>
    <numFmt numFmtId="194" formatCode="yyyy"/>
    <numFmt numFmtId="195" formatCode="m/d"/>
    <numFmt numFmtId="196" formatCode="#,##0.00000000_);\(#,##0.00000000\)"/>
    <numFmt numFmtId="197" formatCode="#,##0.0000000_);\(#,##0.0000000\)"/>
    <numFmt numFmtId="198" formatCode="#,##0.000000_);\(#,##0.000000\)"/>
    <numFmt numFmtId="199" formatCode="#,##0.00000_);\(#,##0.00000\)"/>
    <numFmt numFmtId="200" formatCode="#,##0.0000_);\(#,##0.0000\)"/>
    <numFmt numFmtId="201" formatCode="#,##0.000_);\(#,##0.000\)"/>
    <numFmt numFmtId="202" formatCode="_(* #,##0.000_);_(* \(#,##0.000\);_(* &quot;-&quot;_);_(@_)"/>
    <numFmt numFmtId="203" formatCode="0.000"/>
    <numFmt numFmtId="204" formatCode="0.0000"/>
    <numFmt numFmtId="205" formatCode="0.00000"/>
    <numFmt numFmtId="206" formatCode="_(* #,##0.0000_);_(* \(#,##0.0000\);_(* &quot;-&quot;_);_(@_)"/>
    <numFmt numFmtId="207" formatCode="_(* #,##0.000000_);_(* \(#,##0.000000\);_(* &quot;-&quot;_);_(@_)"/>
    <numFmt numFmtId="208" formatCode="_(* #,##0.0000000_);_(* \(#,##0.0000000\);_(* &quot;-&quot;_);_(@_)"/>
    <numFmt numFmtId="209" formatCode="_(&quot;$&quot;* #,##0.000_);_(&quot;$&quot;* \(#,##0.000\);_(&quot;$&quot;* &quot;-&quot;??_);_(@_)"/>
    <numFmt numFmtId="210" formatCode="#,##0.000000000_);\(#,##0.000000000\)"/>
    <numFmt numFmtId="211" formatCode="0_);[Red]\(0\)"/>
    <numFmt numFmtId="212" formatCode="0.00_);[Red]\(0.00\)"/>
    <numFmt numFmtId="213" formatCode="#,##0.0000000000_);[Red]\(#,##0.0000000000\)"/>
    <numFmt numFmtId="214" formatCode="\(0%\)"/>
    <numFmt numFmtId="215" formatCode="\-\(0%\)"/>
    <numFmt numFmtId="216" formatCode="#,##0.000000000000_);\(#,##0.000000000000\)"/>
    <numFmt numFmtId="217" formatCode="0.0000000000%"/>
    <numFmt numFmtId="218" formatCode="mmm\-yyyy"/>
    <numFmt numFmtId="219" formatCode="#,##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1022">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5" fillId="0" borderId="0" xfId="0" applyNumberFormat="1" applyFont="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21" xfId="15" applyNumberFormat="1" applyFont="1" applyFill="1" applyBorder="1" applyAlignment="1" quotePrefix="1">
      <alignment horizontal="centerContinuous"/>
    </xf>
    <xf numFmtId="164" fontId="10" fillId="2" borderId="30" xfId="15" applyNumberFormat="1" applyFont="1" applyFill="1" applyBorder="1" applyAlignment="1" quotePrefix="1">
      <alignment horizontal="centerContinuous" wrapText="1"/>
    </xf>
    <xf numFmtId="164" fontId="14" fillId="2" borderId="14" xfId="15" applyNumberFormat="1" applyFont="1" applyFill="1" applyBorder="1" applyAlignment="1">
      <alignment horizontal="centerContinuous"/>
    </xf>
    <xf numFmtId="164" fontId="10" fillId="2" borderId="22" xfId="15" applyNumberFormat="1" applyFont="1" applyFill="1" applyBorder="1" applyAlignment="1">
      <alignment horizontal="centerContinuous"/>
    </xf>
    <xf numFmtId="164" fontId="10" fillId="2" borderId="4" xfId="15" applyNumberFormat="1" applyFont="1" applyFill="1" applyBorder="1" applyAlignment="1">
      <alignment horizontal="centerContinuous"/>
    </xf>
    <xf numFmtId="164" fontId="10" fillId="2" borderId="15"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4"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31" fillId="0" borderId="27" xfId="15" applyNumberFormat="1" applyFont="1" applyBorder="1" applyAlignment="1">
      <alignmen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46" fillId="0" borderId="0" xfId="15" applyNumberFormat="1" applyFont="1" applyFill="1" applyAlignment="1">
      <alignment horizontal="centerContinuous"/>
    </xf>
    <xf numFmtId="172" fontId="49" fillId="4" borderId="0" xfId="15" applyNumberFormat="1" applyFont="1" applyFill="1" applyBorder="1" applyAlignment="1" applyProtection="1">
      <alignment horizontal="centerContinuous"/>
      <protection locked="0"/>
    </xf>
    <xf numFmtId="172" fontId="50" fillId="0" borderId="0" xfId="15" applyNumberFormat="1" applyFont="1" applyAlignment="1">
      <alignment horizontal="centerContinuous"/>
    </xf>
    <xf numFmtId="172" fontId="5" fillId="0" borderId="0" xfId="15" applyNumberFormat="1" applyFont="1" applyAlignment="1">
      <alignment horizontal="centerContinuous"/>
    </xf>
    <xf numFmtId="172" fontId="10" fillId="0" borderId="0" xfId="15" applyNumberFormat="1" applyFont="1" applyFill="1" applyAlignment="1">
      <alignment horizontal="centerContinuous"/>
    </xf>
    <xf numFmtId="172" fontId="13" fillId="4" borderId="0" xfId="15" applyNumberFormat="1" applyFont="1" applyFill="1" applyBorder="1" applyAlignment="1" applyProtection="1">
      <alignment horizontal="centerContinuous"/>
      <protection locked="0"/>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6" fontId="10" fillId="6" borderId="27" xfId="15" applyNumberFormat="1" applyFont="1" applyBorder="1" applyAlignment="1">
      <alignment horizontal="right"/>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8" fontId="14" fillId="0" borderId="0" xfId="15" applyNumberFormat="1" applyFont="1" applyBorder="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2" borderId="21" xfId="15" applyNumberFormat="1" applyFont="1" applyFill="1" applyBorder="1" applyAlignment="1" quotePrefix="1">
      <alignment horizontal="centerContinuous"/>
    </xf>
    <xf numFmtId="43" fontId="10" fillId="2" borderId="30" xfId="15" applyNumberFormat="1" applyFont="1" applyFill="1" applyBorder="1" applyAlignment="1" quotePrefix="1">
      <alignment horizontal="centerContinuous" wrapText="1"/>
    </xf>
    <xf numFmtId="43" fontId="14" fillId="2" borderId="14" xfId="15" applyNumberFormat="1" applyFont="1" applyFill="1" applyBorder="1" applyAlignment="1">
      <alignment horizontal="centerContinuous"/>
    </xf>
    <xf numFmtId="43" fontId="10" fillId="2" borderId="22" xfId="15" applyNumberFormat="1" applyFont="1" applyFill="1" applyBorder="1" applyAlignment="1">
      <alignment horizontal="centerContinuous"/>
    </xf>
    <xf numFmtId="43" fontId="10" fillId="2" borderId="4" xfId="15" applyNumberFormat="1" applyFont="1" applyFill="1" applyBorder="1" applyAlignment="1">
      <alignment horizontal="centerContinuous"/>
    </xf>
    <xf numFmtId="43" fontId="10" fillId="2" borderId="15" xfId="15" applyNumberFormat="1" applyFont="1" applyFill="1" applyBorder="1" applyAlignment="1">
      <alignment horizontal="centerContinuous"/>
    </xf>
    <xf numFmtId="43" fontId="10" fillId="0" borderId="21" xfId="15" applyNumberFormat="1" applyFont="1" applyBorder="1" applyAlignment="1">
      <alignment horizontal="centerContinuous"/>
    </xf>
    <xf numFmtId="43" fontId="10" fillId="0" borderId="30" xfId="15" applyNumberFormat="1" applyFont="1" applyBorder="1" applyAlignment="1">
      <alignment horizontal="centerContinuous"/>
    </xf>
    <xf numFmtId="43" fontId="10" fillId="0" borderId="14"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21" fillId="2" borderId="0" xfId="15" applyNumberFormat="1" applyFont="1" applyFill="1" applyBorder="1" applyAlignment="1">
      <alignment horizontal="center" wrapText="1"/>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5" fontId="15" fillId="2" borderId="0" xfId="15" applyNumberFormat="1" applyFont="1" applyFill="1" applyBorder="1" applyAlignment="1">
      <alignment horizontal="center" wrapText="1"/>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0" fillId="2" borderId="4" xfId="15" applyNumberFormat="1" applyFont="1" applyFill="1" applyBorder="1" applyAlignment="1">
      <alignment horizontal="centerContinuous"/>
    </xf>
    <xf numFmtId="7" fontId="10" fillId="2" borderId="0" xfId="15" applyNumberFormat="1" applyFont="1" applyFill="1" applyBorder="1" applyAlignment="1">
      <alignment horizontal="centerContinuous"/>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164" fontId="35" fillId="3" borderId="0" xfId="15" applyNumberFormat="1" applyFont="1" applyFill="1" applyBorder="1" applyAlignment="1">
      <alignment vertical="center" wrapText="1"/>
    </xf>
    <xf numFmtId="164" fontId="35" fillId="3" borderId="0" xfId="15" applyNumberFormat="1" applyFont="1" applyFill="1" applyBorder="1" applyAlignment="1">
      <alignmen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43" fontId="14" fillId="0" borderId="0" xfId="15" applyNumberFormat="1" applyFont="1" applyFill="1" applyBorder="1" applyAlignment="1">
      <alignment horizontal="right"/>
    </xf>
    <xf numFmtId="164"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46" fillId="4" borderId="0" xfId="0" applyNumberFormat="1" applyFont="1" applyFill="1" applyBorder="1" applyAlignment="1" applyProtection="1">
      <alignment horizontal="centerContinuous"/>
      <protection locked="0"/>
    </xf>
    <xf numFmtId="172" fontId="6" fillId="0" borderId="0" xfId="15" applyNumberFormat="1" applyFont="1" applyAlignment="1">
      <alignment horizontal="centerContinuous"/>
    </xf>
    <xf numFmtId="172" fontId="7" fillId="0" borderId="0" xfId="15" applyNumberFormat="1" applyFont="1" applyFill="1" applyAlignment="1">
      <alignment horizontal="centerContinuous"/>
    </xf>
    <xf numFmtId="7" fontId="7" fillId="4" borderId="0" xfId="0" applyNumberFormat="1" applyFont="1" applyFill="1" applyBorder="1" applyAlignment="1" applyProtection="1">
      <alignment horizontal="centerContinuous"/>
      <protection locked="0"/>
    </xf>
    <xf numFmtId="172" fontId="7" fillId="4" borderId="0" xfId="15" applyNumberFormat="1" applyFont="1" applyFill="1" applyBorder="1" applyAlignment="1" applyProtection="1">
      <alignment horizontal="centerContinuous"/>
      <protection locked="0"/>
    </xf>
    <xf numFmtId="7" fontId="10" fillId="4" borderId="0" xfId="0" applyNumberFormat="1" applyFont="1" applyFill="1" applyBorder="1" applyAlignment="1" applyProtection="1">
      <alignment/>
      <protection locked="0"/>
    </xf>
    <xf numFmtId="172" fontId="15" fillId="2" borderId="0" xfId="15" applyNumberFormat="1" applyFont="1" applyFill="1" applyAlignment="1">
      <alignment horizontal="centerContinuous" wrapText="1"/>
    </xf>
    <xf numFmtId="172" fontId="15" fillId="2" borderId="0" xfId="15" applyNumberFormat="1" applyFont="1" applyFill="1" applyAlignment="1">
      <alignment horizontal="center" wrapText="1"/>
    </xf>
    <xf numFmtId="172" fontId="15" fillId="5" borderId="0" xfId="15" applyNumberFormat="1" applyFont="1" applyFill="1" applyBorder="1" applyAlignment="1" applyProtection="1">
      <alignment horizontal="center" wrapText="1"/>
      <protection locked="0"/>
    </xf>
    <xf numFmtId="7" fontId="10" fillId="4" borderId="0" xfId="0" applyNumberFormat="1" applyFont="1" applyFill="1" applyBorder="1" applyAlignment="1" applyProtection="1">
      <alignment horizontal="left"/>
      <protection locked="0"/>
    </xf>
    <xf numFmtId="172" fontId="14" fillId="0" borderId="0" xfId="15" applyNumberFormat="1" applyFont="1" applyAlignment="1">
      <alignment/>
    </xf>
    <xf numFmtId="172" fontId="14" fillId="0" borderId="0" xfId="15" applyNumberFormat="1" applyFont="1" applyFill="1" applyAlignment="1">
      <alignment/>
    </xf>
    <xf numFmtId="7" fontId="14" fillId="4" borderId="0" xfId="0" applyNumberFormat="1" applyFont="1" applyFill="1" applyBorder="1" applyAlignment="1" applyProtection="1">
      <alignment/>
      <protection locked="0"/>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64" fontId="10" fillId="0" borderId="0" xfId="15" applyNumberFormat="1" applyFont="1" applyBorder="1" applyAlignment="1">
      <alignment/>
    </xf>
    <xf numFmtId="172" fontId="14" fillId="0" borderId="0" xfId="15" applyNumberFormat="1" applyFont="1" applyAlignment="1">
      <alignment/>
    </xf>
    <xf numFmtId="172" fontId="10" fillId="4" borderId="0" xfId="15" applyNumberFormat="1" applyFont="1" applyFill="1" applyBorder="1" applyAlignment="1" applyProtection="1">
      <alignment/>
      <protection locked="0"/>
    </xf>
    <xf numFmtId="43" fontId="10" fillId="0" borderId="0" xfId="0" applyNumberFormat="1" applyFont="1" applyBorder="1" applyAlignment="1">
      <alignment horizontal="right"/>
    </xf>
    <xf numFmtId="164" fontId="31" fillId="0" borderId="0" xfId="15" applyNumberFormat="1" applyFont="1" applyFill="1" applyAlignment="1">
      <alignment/>
    </xf>
    <xf numFmtId="7" fontId="31" fillId="4" borderId="0" xfId="0" applyNumberFormat="1" applyFont="1" applyFill="1" applyBorder="1" applyAlignment="1" applyProtection="1">
      <alignment/>
      <protection locked="0"/>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9" fontId="14"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164" fontId="15" fillId="2" borderId="0" xfId="15" applyNumberFormat="1" applyFont="1" applyFill="1" applyBorder="1" applyAlignment="1">
      <alignment horizontal="centerContinuous" wrapText="1"/>
    </xf>
    <xf numFmtId="164" fontId="15" fillId="2" borderId="0" xfId="15" applyNumberFormat="1" applyFont="1" applyFill="1" applyBorder="1" applyAlignment="1">
      <alignment horizontal="center" wrapText="1"/>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6" fontId="10" fillId="6" borderId="31" xfId="15" applyNumberFormat="1" applyFont="1" applyBorder="1" applyAlignment="1">
      <alignment horizontal="right"/>
    </xf>
    <xf numFmtId="6" fontId="10" fillId="6" borderId="15" xfId="15" applyNumberFormat="1" applyFont="1" applyBorder="1" applyAlignment="1">
      <alignment horizontal="right"/>
    </xf>
    <xf numFmtId="43" fontId="14" fillId="0" borderId="0" xfId="17" applyNumberFormat="1" applyFont="1" applyBorder="1" applyAlignment="1">
      <alignment horizontal="right"/>
    </xf>
    <xf numFmtId="7" fontId="31" fillId="4" borderId="0" xfId="0" applyNumberFormat="1" applyFont="1" applyFill="1" applyBorder="1" applyAlignment="1" applyProtection="1">
      <alignment/>
      <protection locked="0"/>
    </xf>
    <xf numFmtId="164" fontId="31" fillId="0" borderId="0" xfId="15" applyNumberFormat="1" applyFont="1" applyFill="1" applyAlignment="1">
      <alignment/>
    </xf>
    <xf numFmtId="43" fontId="31" fillId="0" borderId="0" xfId="0" applyNumberFormat="1" applyFont="1" applyBorder="1" applyAlignment="1">
      <alignment/>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0" fontId="1" fillId="0" borderId="0" xfId="0" applyFont="1" applyAlignment="1">
      <alignment horizontal="center"/>
    </xf>
    <xf numFmtId="7" fontId="18"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18" fillId="0" borderId="21" xfId="0" applyNumberFormat="1" applyFont="1" applyBorder="1" applyAlignment="1">
      <alignment horizontal="center"/>
    </xf>
    <xf numFmtId="43" fontId="18" fillId="0" borderId="30"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0" fontId="18" fillId="0" borderId="21"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externalLink" Target="externalLinks/externalLink13.xml" /><Relationship Id="rId40" Type="http://schemas.openxmlformats.org/officeDocument/2006/relationships/externalLink" Target="externalLinks/externalLink14.xml" /><Relationship Id="rId41" Type="http://schemas.openxmlformats.org/officeDocument/2006/relationships/externalLink" Target="externalLinks/externalLink15.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satara\Local%20Settings\Temporary%20Internet%20Files\OLK7A\tenant1to4Famil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TARA\EXCEL\Miscellaneous\3Q04%20FINANCIAL%20STATEMENTS\WRITTEN%20PREMIUM%20REVISED%20200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SATARA\EXCEL\Miscellaneous\3Q04%20FINANCIAL%20STATEMENTS\JOURNAL%20ENTRIE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nancialDept\Financial%20Statements\2004\2Q04\FINANCIAL%20STATEMENTS.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TRIAL%20BALANCE%20(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TARA\EXCEL\Miscellaneous\3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5">
          <cell r="F15">
            <v>1739979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Q02"/>
      <sheetName val="2Q02"/>
      <sheetName val="3Q02"/>
      <sheetName val="4Q02"/>
      <sheetName val="YTD 02"/>
      <sheetName val="Sheet1"/>
      <sheetName val="1Q03"/>
      <sheetName val="2Q03 QTD"/>
      <sheetName val="2Q03 YTD"/>
      <sheetName val="3Q03 QTD"/>
      <sheetName val="3Q03 YTD"/>
      <sheetName val="4Q03 QTD"/>
      <sheetName val="4Q03 YTD"/>
      <sheetName val="1Q02 DATA"/>
      <sheetName val="2Q02 DATA"/>
      <sheetName val="3Q02 DATA"/>
      <sheetName val="4Q02 DATA"/>
      <sheetName val="1Q03 DATA"/>
      <sheetName val="2Q03 DATA QTD"/>
      <sheetName val="2Q03 DATA YTD"/>
      <sheetName val="3Q03 DATA QTD"/>
      <sheetName val="4Q03 DATA QTD"/>
      <sheetName val="1Q04"/>
      <sheetName val="2Q04"/>
    </sheetNames>
    <sheetDataSet>
      <sheetData sheetId="23">
        <row r="28">
          <cell r="G28">
            <v>504458</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RIAL BALANCE @ 10-26-04"/>
      <sheetName val="IBNR Calculation-13 new"/>
      <sheetName val="ALAE &amp; ULAE Calculation-14 new"/>
      <sheetName val="Loss Expenses QTD-16 new"/>
      <sheetName val="Loss Expenses YTD-17 new"/>
      <sheetName val="IBNR Calculation-13"/>
      <sheetName val="ALAE &amp; ULAE Calculation-14"/>
      <sheetName val="Loss Exp Factor-15"/>
      <sheetName val="Loss Expenses QTD-16"/>
      <sheetName val="Loss Expenses YTD-17"/>
      <sheetName val="JE-AP"/>
      <sheetName val="JE-UPR"/>
      <sheetName val="JE-IBNR"/>
      <sheetName val="ALAE &amp; ULAE"/>
      <sheetName val="JE-ULAE"/>
      <sheetName val="JE-ALAE R"/>
      <sheetName val="JE-ULAE R"/>
      <sheetName val="TB-ALAE P"/>
      <sheetName val="TB-ULAE P"/>
      <sheetName val="TB-CBR"/>
      <sheetName val="TB-IBNR"/>
      <sheetName val="TB-LOSSES"/>
      <sheetName val="TB-ALAE"/>
      <sheetName val="TB-ULAE"/>
    </sheetNames>
    <sheetDataSet>
      <sheetData sheetId="0">
        <row r="23">
          <cell r="F23">
            <v>38063.41</v>
          </cell>
        </row>
        <row r="27">
          <cell r="F27">
            <v>60</v>
          </cell>
        </row>
        <row r="34">
          <cell r="F34">
            <v>55959.189999999995</v>
          </cell>
        </row>
        <row r="38">
          <cell r="E38">
            <v>-495257</v>
          </cell>
        </row>
        <row r="39">
          <cell r="E39">
            <v>-151008</v>
          </cell>
        </row>
        <row r="40">
          <cell r="E40">
            <v>-1786</v>
          </cell>
        </row>
        <row r="42">
          <cell r="E42">
            <v>-8815076</v>
          </cell>
        </row>
        <row r="43">
          <cell r="E43">
            <v>-2544509</v>
          </cell>
        </row>
        <row r="44">
          <cell r="E44">
            <v>-31955</v>
          </cell>
        </row>
        <row r="51">
          <cell r="F51">
            <v>-67037.82</v>
          </cell>
        </row>
        <row r="53">
          <cell r="E53">
            <v>-85000</v>
          </cell>
        </row>
        <row r="54">
          <cell r="E54">
            <v>-500</v>
          </cell>
        </row>
        <row r="56">
          <cell r="E56">
            <v>-96842.08</v>
          </cell>
        </row>
        <row r="57">
          <cell r="E57">
            <v>-9171.92</v>
          </cell>
        </row>
        <row r="59">
          <cell r="E59">
            <v>-2391789.21</v>
          </cell>
        </row>
        <row r="60">
          <cell r="E60">
            <v>-162474.91</v>
          </cell>
        </row>
        <row r="62">
          <cell r="E62">
            <v>-1442463.2</v>
          </cell>
        </row>
        <row r="63">
          <cell r="E63">
            <v>-207833</v>
          </cell>
        </row>
        <row r="64">
          <cell r="E64">
            <v>-2500</v>
          </cell>
        </row>
        <row r="68">
          <cell r="E68">
            <v>0</v>
          </cell>
        </row>
        <row r="70">
          <cell r="E70">
            <v>-65399.61</v>
          </cell>
        </row>
        <row r="71">
          <cell r="E71">
            <v>-215.08</v>
          </cell>
        </row>
        <row r="73">
          <cell r="E73">
            <v>-41656.96</v>
          </cell>
        </row>
        <row r="74">
          <cell r="E74">
            <v>-3945.33</v>
          </cell>
        </row>
        <row r="76">
          <cell r="E76">
            <v>-1028836.55</v>
          </cell>
        </row>
        <row r="77">
          <cell r="E77">
            <v>-69889.15</v>
          </cell>
        </row>
        <row r="80">
          <cell r="E80">
            <v>-620480.62</v>
          </cell>
        </row>
        <row r="81">
          <cell r="E81">
            <v>-89400.1</v>
          </cell>
        </row>
        <row r="82">
          <cell r="E82">
            <v>-1075.38</v>
          </cell>
        </row>
        <row r="89">
          <cell r="F89">
            <v>-4427.49</v>
          </cell>
        </row>
        <row r="91">
          <cell r="E91">
            <v>-6343.56</v>
          </cell>
        </row>
        <row r="92">
          <cell r="E92">
            <v>-37.32</v>
          </cell>
        </row>
        <row r="94">
          <cell r="E94">
            <v>-29138.16</v>
          </cell>
        </row>
        <row r="95">
          <cell r="E95">
            <v>-2759.68</v>
          </cell>
        </row>
        <row r="97">
          <cell r="E97">
            <v>-103022.93</v>
          </cell>
        </row>
        <row r="98">
          <cell r="E98">
            <v>-6998.38</v>
          </cell>
        </row>
        <row r="100">
          <cell r="E100">
            <v>-297007.01</v>
          </cell>
        </row>
        <row r="101">
          <cell r="E101">
            <v>-42793.37</v>
          </cell>
        </row>
        <row r="102">
          <cell r="E102">
            <v>-514.76</v>
          </cell>
        </row>
        <row r="104">
          <cell r="F104">
            <v>-493042.66000000003</v>
          </cell>
        </row>
        <row r="108">
          <cell r="F108">
            <v>-1664.1599999999999</v>
          </cell>
        </row>
        <row r="110">
          <cell r="E110">
            <v>-4565.49</v>
          </cell>
        </row>
        <row r="111">
          <cell r="E111">
            <v>-26.86</v>
          </cell>
        </row>
        <row r="113">
          <cell r="E113">
            <v>-8933.27</v>
          </cell>
        </row>
        <row r="114">
          <cell r="E114">
            <v>-846.07</v>
          </cell>
        </row>
        <row r="116">
          <cell r="E116">
            <v>-9580.89</v>
          </cell>
        </row>
        <row r="117">
          <cell r="E117">
            <v>-650.83</v>
          </cell>
        </row>
        <row r="119">
          <cell r="E119">
            <v>-140323.93</v>
          </cell>
        </row>
        <row r="120">
          <cell r="E120">
            <v>-20218.15</v>
          </cell>
        </row>
        <row r="121">
          <cell r="E121">
            <v>-243.2</v>
          </cell>
        </row>
        <row r="123">
          <cell r="F123">
            <v>-187052.85</v>
          </cell>
        </row>
        <row r="128">
          <cell r="F128">
            <v>-41432.32</v>
          </cell>
        </row>
        <row r="131">
          <cell r="F131">
            <v>-5562.03</v>
          </cell>
        </row>
        <row r="133">
          <cell r="F133">
            <v>-20329.18</v>
          </cell>
        </row>
        <row r="142">
          <cell r="F142">
            <v>-321210.28</v>
          </cell>
        </row>
        <row r="151">
          <cell r="F151">
            <v>-460847.4</v>
          </cell>
        </row>
        <row r="168">
          <cell r="F168">
            <v>-4050.54</v>
          </cell>
        </row>
        <row r="170">
          <cell r="F170">
            <v>-1434816</v>
          </cell>
        </row>
        <row r="172">
          <cell r="F172">
            <v>-505354.22</v>
          </cell>
        </row>
        <row r="176">
          <cell r="F176">
            <v>-487942</v>
          </cell>
        </row>
        <row r="180">
          <cell r="F180">
            <v>-245024.37</v>
          </cell>
        </row>
        <row r="199">
          <cell r="D199">
            <v>350</v>
          </cell>
          <cell r="F199">
            <v>350</v>
          </cell>
        </row>
        <row r="203">
          <cell r="D203">
            <v>127</v>
          </cell>
          <cell r="F203">
            <v>127</v>
          </cell>
        </row>
        <row r="205">
          <cell r="C205">
            <v>182</v>
          </cell>
          <cell r="E205">
            <v>182</v>
          </cell>
        </row>
        <row r="206">
          <cell r="C206">
            <v>68</v>
          </cell>
          <cell r="E206">
            <v>68</v>
          </cell>
        </row>
        <row r="208">
          <cell r="C208">
            <v>536</v>
          </cell>
          <cell r="E208">
            <v>4529</v>
          </cell>
        </row>
        <row r="209">
          <cell r="C209">
            <v>151</v>
          </cell>
          <cell r="E209">
            <v>1149</v>
          </cell>
        </row>
        <row r="210">
          <cell r="C210">
            <v>21</v>
          </cell>
          <cell r="E210">
            <v>20</v>
          </cell>
        </row>
        <row r="212">
          <cell r="C212">
            <v>49941</v>
          </cell>
          <cell r="E212">
            <v>39050</v>
          </cell>
        </row>
        <row r="213">
          <cell r="C213">
            <v>14914</v>
          </cell>
          <cell r="E213">
            <v>14467</v>
          </cell>
        </row>
        <row r="214">
          <cell r="C214">
            <v>112</v>
          </cell>
          <cell r="E214">
            <v>472</v>
          </cell>
        </row>
        <row r="216">
          <cell r="C216">
            <v>-4825573</v>
          </cell>
          <cell r="E216">
            <v>-14071755</v>
          </cell>
        </row>
        <row r="217">
          <cell r="C217">
            <v>-1397236</v>
          </cell>
          <cell r="E217">
            <v>-4046824</v>
          </cell>
        </row>
        <row r="218">
          <cell r="C218">
            <v>-17785</v>
          </cell>
          <cell r="E218">
            <v>-51194</v>
          </cell>
        </row>
        <row r="249">
          <cell r="D249">
            <v>-50132.5</v>
          </cell>
          <cell r="F249">
            <v>-113176.67999999998</v>
          </cell>
        </row>
        <row r="252">
          <cell r="D252">
            <v>25071.420000000002</v>
          </cell>
          <cell r="F252">
            <v>100461.42</v>
          </cell>
        </row>
        <row r="254">
          <cell r="C254">
            <v>0</v>
          </cell>
          <cell r="E254">
            <v>0</v>
          </cell>
        </row>
        <row r="255">
          <cell r="C255">
            <v>5752.89</v>
          </cell>
          <cell r="E255">
            <v>5752.89</v>
          </cell>
        </row>
        <row r="257">
          <cell r="C257">
            <v>225323.48</v>
          </cell>
          <cell r="E257">
            <v>1693415.81</v>
          </cell>
        </row>
        <row r="258">
          <cell r="C258">
            <v>0</v>
          </cell>
          <cell r="E258">
            <v>178499.34</v>
          </cell>
        </row>
        <row r="260">
          <cell r="C260">
            <v>1768441.28</v>
          </cell>
          <cell r="E260">
            <v>5990114.32</v>
          </cell>
        </row>
        <row r="261">
          <cell r="C261">
            <v>263006.23</v>
          </cell>
          <cell r="E261">
            <v>1290109.91</v>
          </cell>
        </row>
        <row r="262">
          <cell r="C262">
            <v>0</v>
          </cell>
          <cell r="E262">
            <v>1229</v>
          </cell>
        </row>
        <row r="264">
          <cell r="C264">
            <v>587369.55</v>
          </cell>
          <cell r="E264">
            <v>695781.54</v>
          </cell>
        </row>
        <row r="265">
          <cell r="C265">
            <v>150756.71</v>
          </cell>
          <cell r="E265">
            <v>202076.03</v>
          </cell>
        </row>
        <row r="267">
          <cell r="D267">
            <v>3025721.5599999996</v>
          </cell>
          <cell r="F267">
            <v>10157440.26</v>
          </cell>
        </row>
        <row r="271">
          <cell r="F271">
            <v>-1176.5700000000002</v>
          </cell>
        </row>
        <row r="273">
          <cell r="C273">
            <v>-17.88</v>
          </cell>
          <cell r="E273">
            <v>-56.64</v>
          </cell>
        </row>
        <row r="275">
          <cell r="E275">
            <v>-5674.74</v>
          </cell>
        </row>
        <row r="277">
          <cell r="E277">
            <v>-1483</v>
          </cell>
        </row>
        <row r="279">
          <cell r="C279">
            <v>-19160.16</v>
          </cell>
          <cell r="E279">
            <v>-19160.16</v>
          </cell>
        </row>
        <row r="280">
          <cell r="E280">
            <v>-6934.15</v>
          </cell>
        </row>
        <row r="282">
          <cell r="D282">
            <v>-19178.04</v>
          </cell>
          <cell r="F282">
            <v>-34485.26</v>
          </cell>
        </row>
        <row r="343">
          <cell r="D343">
            <v>6630.17</v>
          </cell>
          <cell r="F343">
            <v>10476.470000000001</v>
          </cell>
        </row>
        <row r="345">
          <cell r="C345">
            <v>0</v>
          </cell>
          <cell r="E345">
            <v>1840.42</v>
          </cell>
        </row>
        <row r="346">
          <cell r="C346">
            <v>123.5</v>
          </cell>
          <cell r="D346">
            <v>123.5</v>
          </cell>
          <cell r="E346">
            <v>1158.84</v>
          </cell>
          <cell r="F346">
            <v>2999.26</v>
          </cell>
        </row>
        <row r="348">
          <cell r="C348">
            <v>11050.99</v>
          </cell>
          <cell r="E348">
            <v>69035.32</v>
          </cell>
        </row>
        <row r="349">
          <cell r="C349">
            <v>2277.74</v>
          </cell>
          <cell r="D349">
            <v>13328.73</v>
          </cell>
          <cell r="E349">
            <v>48974.98</v>
          </cell>
          <cell r="F349">
            <v>118010.30000000002</v>
          </cell>
        </row>
        <row r="351">
          <cell r="C351">
            <v>72971.47</v>
          </cell>
          <cell r="E351">
            <v>279649.37</v>
          </cell>
        </row>
        <row r="352">
          <cell r="C352">
            <v>72804.64</v>
          </cell>
          <cell r="E352">
            <v>290910.16</v>
          </cell>
        </row>
        <row r="353">
          <cell r="C353">
            <v>0</v>
          </cell>
          <cell r="D353">
            <v>145776.11</v>
          </cell>
          <cell r="E353">
            <v>6255.85</v>
          </cell>
          <cell r="F353">
            <v>576815.38</v>
          </cell>
        </row>
        <row r="355">
          <cell r="C355">
            <v>28443.97</v>
          </cell>
          <cell r="E355">
            <v>38052.77</v>
          </cell>
        </row>
        <row r="356">
          <cell r="C356">
            <v>66174.01</v>
          </cell>
          <cell r="D356">
            <v>94617.98</v>
          </cell>
          <cell r="E356">
            <v>88685.14</v>
          </cell>
          <cell r="F356">
            <v>126737.91</v>
          </cell>
        </row>
        <row r="358">
          <cell r="D358">
            <v>260476.49</v>
          </cell>
          <cell r="F358">
            <v>835039.3200000001</v>
          </cell>
        </row>
        <row r="360">
          <cell r="C360">
            <v>1108.19</v>
          </cell>
          <cell r="D360">
            <v>1108.19</v>
          </cell>
          <cell r="F360">
            <v>3972.17</v>
          </cell>
        </row>
        <row r="362">
          <cell r="C362">
            <v>0</v>
          </cell>
          <cell r="E362">
            <v>-5.24</v>
          </cell>
        </row>
        <row r="363">
          <cell r="C363">
            <v>254.29</v>
          </cell>
          <cell r="D363">
            <v>254.29</v>
          </cell>
          <cell r="E363">
            <v>254.29</v>
          </cell>
          <cell r="F363">
            <v>249.04999999999998</v>
          </cell>
        </row>
        <row r="365">
          <cell r="C365">
            <v>9959.74</v>
          </cell>
          <cell r="E365">
            <v>64969.78</v>
          </cell>
        </row>
        <row r="366">
          <cell r="C366">
            <v>0</v>
          </cell>
          <cell r="D366">
            <v>9959.74</v>
          </cell>
          <cell r="E366">
            <v>7026.64</v>
          </cell>
          <cell r="F366">
            <v>71996.42</v>
          </cell>
        </row>
        <row r="368">
          <cell r="C368">
            <v>78168.55</v>
          </cell>
          <cell r="E368">
            <v>244455.46</v>
          </cell>
        </row>
        <row r="369">
          <cell r="C369">
            <v>11625.39</v>
          </cell>
          <cell r="E369">
            <v>51269.57</v>
          </cell>
        </row>
        <row r="370">
          <cell r="C370">
            <v>0</v>
          </cell>
          <cell r="D370">
            <v>89793.94</v>
          </cell>
          <cell r="E370">
            <v>45.77</v>
          </cell>
          <cell r="F370">
            <v>295770.8</v>
          </cell>
        </row>
        <row r="372">
          <cell r="C372">
            <v>25962.88</v>
          </cell>
          <cell r="E372">
            <v>30347.64</v>
          </cell>
        </row>
        <row r="373">
          <cell r="C373">
            <v>6663.74</v>
          </cell>
          <cell r="D373">
            <v>32626.620000000003</v>
          </cell>
          <cell r="E373">
            <v>8668.12</v>
          </cell>
          <cell r="F373">
            <v>39015.76</v>
          </cell>
        </row>
        <row r="375">
          <cell r="D375">
            <v>133742.78</v>
          </cell>
          <cell r="F375">
            <v>411004.2</v>
          </cell>
        </row>
        <row r="458">
          <cell r="D458">
            <v>-35</v>
          </cell>
          <cell r="F458">
            <v>-35</v>
          </cell>
        </row>
        <row r="462">
          <cell r="D462">
            <v>-12.7</v>
          </cell>
          <cell r="F462">
            <v>-12.7</v>
          </cell>
        </row>
        <row r="465">
          <cell r="D465">
            <v>-25</v>
          </cell>
          <cell r="F465">
            <v>-25</v>
          </cell>
        </row>
        <row r="469">
          <cell r="D469">
            <v>-70.8</v>
          </cell>
          <cell r="F469">
            <v>-569.8</v>
          </cell>
        </row>
        <row r="473">
          <cell r="D473">
            <v>-6496.7</v>
          </cell>
          <cell r="F473">
            <v>-31188.000000000004</v>
          </cell>
        </row>
        <row r="477">
          <cell r="D477">
            <v>634734.45</v>
          </cell>
          <cell r="F477">
            <v>1866124.5</v>
          </cell>
        </row>
        <row r="482">
          <cell r="D482">
            <v>0</v>
          </cell>
          <cell r="F482">
            <v>38.699999999999996</v>
          </cell>
        </row>
        <row r="486">
          <cell r="D486">
            <v>639</v>
          </cell>
          <cell r="F486">
            <v>3290.55</v>
          </cell>
        </row>
        <row r="490">
          <cell r="D490">
            <v>-70582.45</v>
          </cell>
          <cell r="F490">
            <v>-205534.44999999998</v>
          </cell>
        </row>
        <row r="494">
          <cell r="D494">
            <v>558150.7999999999</v>
          </cell>
          <cell r="F494">
            <v>1632088.8</v>
          </cell>
        </row>
        <row r="497">
          <cell r="D497">
            <v>6705.43</v>
          </cell>
          <cell r="F497">
            <v>27518.17</v>
          </cell>
        </row>
        <row r="499">
          <cell r="D499">
            <v>3093.75</v>
          </cell>
          <cell r="F499">
            <v>10106.25</v>
          </cell>
        </row>
        <row r="507">
          <cell r="D507">
            <v>67675</v>
          </cell>
          <cell r="F507">
            <v>258894.09</v>
          </cell>
        </row>
        <row r="804">
          <cell r="D804">
            <v>1031858.2800000003</v>
          </cell>
          <cell r="F804">
            <v>2977703.8300000005</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Equity QTD-3"/>
      <sheetName val="Equity YTD-4"/>
      <sheetName val="(9)Equity YTD4"/>
      <sheetName val="Earned Incurred QTD-5"/>
      <sheetName val="(8)Earned Incurred YTD6"/>
      <sheetName val="(7)Premiums YTD8"/>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6">
        <row r="21">
          <cell r="B21">
            <v>66012.18</v>
          </cell>
          <cell r="C21">
            <v>19411.14</v>
          </cell>
        </row>
        <row r="28">
          <cell r="B28">
            <v>204862.30000000005</v>
          </cell>
        </row>
        <row r="33">
          <cell r="C33">
            <v>234911.12000000002</v>
          </cell>
        </row>
      </sheetData>
      <sheetData sheetId="11">
        <row r="32">
          <cell r="C32">
            <v>85422.5</v>
          </cell>
        </row>
        <row r="33">
          <cell r="B33">
            <v>19328.66</v>
          </cell>
        </row>
        <row r="34">
          <cell r="B34">
            <v>61134.57</v>
          </cell>
        </row>
        <row r="41">
          <cell r="B41">
            <v>347860.58</v>
          </cell>
        </row>
        <row r="42">
          <cell r="B42">
            <v>293447.56</v>
          </cell>
        </row>
        <row r="49">
          <cell r="B49">
            <v>13121.08</v>
          </cell>
        </row>
        <row r="50">
          <cell r="B50">
            <v>8748.01</v>
          </cell>
        </row>
      </sheetData>
      <sheetData sheetId="13">
        <row r="14">
          <cell r="B14">
            <v>6951773</v>
          </cell>
          <cell r="C14">
            <v>2068980</v>
          </cell>
          <cell r="D14">
            <v>0</v>
          </cell>
          <cell r="E14">
            <v>0</v>
          </cell>
          <cell r="F14">
            <v>0</v>
          </cell>
        </row>
        <row r="15">
          <cell r="B15">
            <v>1998689</v>
          </cell>
          <cell r="C15">
            <v>648649</v>
          </cell>
          <cell r="D15">
            <v>0</v>
          </cell>
          <cell r="E15">
            <v>0</v>
          </cell>
          <cell r="F15">
            <v>0</v>
          </cell>
        </row>
        <row r="16">
          <cell r="B16">
            <v>24932</v>
          </cell>
          <cell r="C16">
            <v>8154</v>
          </cell>
          <cell r="D16">
            <v>0</v>
          </cell>
          <cell r="E16">
            <v>0</v>
          </cell>
          <cell r="F16">
            <v>0</v>
          </cell>
        </row>
        <row r="20">
          <cell r="C20">
            <v>8106000</v>
          </cell>
        </row>
        <row r="21">
          <cell r="C21">
            <v>2607627</v>
          </cell>
        </row>
        <row r="22">
          <cell r="C22">
            <v>35860</v>
          </cell>
        </row>
      </sheetData>
      <sheetData sheetId="14">
        <row r="22">
          <cell r="B22">
            <v>233267.32</v>
          </cell>
          <cell r="C22">
            <v>735985.86</v>
          </cell>
          <cell r="D22">
            <v>69609.9</v>
          </cell>
          <cell r="E22">
            <v>18074.63</v>
          </cell>
          <cell r="F22">
            <v>20983.54</v>
          </cell>
        </row>
        <row r="23">
          <cell r="B23">
            <v>40187.29</v>
          </cell>
          <cell r="C23">
            <v>59915.82</v>
          </cell>
          <cell r="D23">
            <v>2481.33</v>
          </cell>
          <cell r="E23">
            <v>1276.9</v>
          </cell>
        </row>
      </sheetData>
      <sheetData sheetId="15">
        <row r="16">
          <cell r="B16">
            <v>1097005</v>
          </cell>
          <cell r="C16">
            <v>3461180.01</v>
          </cell>
          <cell r="D16">
            <v>327360.08</v>
          </cell>
          <cell r="E16">
            <v>85001</v>
          </cell>
          <cell r="F16">
            <v>98681</v>
          </cell>
        </row>
        <row r="17">
          <cell r="B17">
            <v>188992.03</v>
          </cell>
          <cell r="C17">
            <v>281770.97</v>
          </cell>
          <cell r="D17">
            <v>11669.17</v>
          </cell>
          <cell r="E17">
            <v>6005</v>
          </cell>
          <cell r="F17">
            <v>0</v>
          </cell>
        </row>
        <row r="18">
          <cell r="B18">
            <v>0</v>
          </cell>
          <cell r="C18">
            <v>0</v>
          </cell>
          <cell r="D18">
            <v>0</v>
          </cell>
          <cell r="E18">
            <v>0</v>
          </cell>
          <cell r="F18">
            <v>0</v>
          </cell>
        </row>
        <row r="29">
          <cell r="B29">
            <v>0</v>
          </cell>
          <cell r="C29">
            <v>3855158.91</v>
          </cell>
          <cell r="D29">
            <v>1825586.84</v>
          </cell>
          <cell r="E29">
            <v>86017</v>
          </cell>
          <cell r="F29">
            <v>158729</v>
          </cell>
        </row>
        <row r="30">
          <cell r="B30">
            <v>0</v>
          </cell>
          <cell r="C30">
            <v>1125651.02</v>
          </cell>
          <cell r="D30">
            <v>152921.92</v>
          </cell>
          <cell r="E30">
            <v>8514</v>
          </cell>
          <cell r="F30">
            <v>0</v>
          </cell>
        </row>
        <row r="31">
          <cell r="B31">
            <v>0</v>
          </cell>
          <cell r="C31">
            <v>27967.07</v>
          </cell>
          <cell r="D31">
            <v>0</v>
          </cell>
          <cell r="E31">
            <v>0</v>
          </cell>
          <cell r="F31">
            <v>0</v>
          </cell>
        </row>
      </sheetData>
      <sheetData sheetId="17">
        <row r="15">
          <cell r="B15">
            <v>359874.55</v>
          </cell>
          <cell r="C15">
            <v>114761.23000000001</v>
          </cell>
          <cell r="D15">
            <v>60800.100000000006</v>
          </cell>
          <cell r="E15">
            <v>14602.89</v>
          </cell>
          <cell r="F15">
            <v>10878.09</v>
          </cell>
        </row>
        <row r="16">
          <cell r="B16">
            <v>61999.19</v>
          </cell>
          <cell r="C16">
            <v>9342.59</v>
          </cell>
          <cell r="D16">
            <v>2167.29</v>
          </cell>
          <cell r="E16">
            <v>1031.6399999999999</v>
          </cell>
          <cell r="F16">
            <v>0</v>
          </cell>
        </row>
        <row r="17">
          <cell r="B17">
            <v>0</v>
          </cell>
          <cell r="C17">
            <v>0</v>
          </cell>
          <cell r="D17">
            <v>0</v>
          </cell>
          <cell r="E17">
            <v>0</v>
          </cell>
          <cell r="F17">
            <v>0</v>
          </cell>
        </row>
        <row r="21">
          <cell r="B21">
            <v>0</v>
          </cell>
          <cell r="C21">
            <v>337867.09</v>
          </cell>
          <cell r="D21">
            <v>231301.85</v>
          </cell>
          <cell r="E21">
            <v>10898.35</v>
          </cell>
          <cell r="F21">
            <v>20110.96</v>
          </cell>
        </row>
        <row r="22">
          <cell r="B22">
            <v>0</v>
          </cell>
          <cell r="C22">
            <v>93705.38</v>
          </cell>
          <cell r="D22">
            <v>19375.21</v>
          </cell>
          <cell r="E22">
            <v>1078.82</v>
          </cell>
          <cell r="F22">
            <v>0</v>
          </cell>
        </row>
        <row r="23">
          <cell r="B23">
            <v>0</v>
          </cell>
          <cell r="C23">
            <v>2850.76</v>
          </cell>
          <cell r="D23">
            <v>0</v>
          </cell>
          <cell r="E23">
            <v>0</v>
          </cell>
          <cell r="F23">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RIAL BALANCE"/>
    </sheetNames>
    <sheetDataSet>
      <sheetData sheetId="0">
        <row r="16">
          <cell r="F16">
            <v>2105349.54</v>
          </cell>
        </row>
        <row r="19">
          <cell r="F19">
            <v>10034979.41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3" t="s">
        <v>254</v>
      </c>
      <c r="B1" s="953"/>
      <c r="C1" s="953"/>
      <c r="D1" s="953"/>
      <c r="E1" s="953"/>
      <c r="F1" s="953"/>
      <c r="G1" s="953"/>
      <c r="H1" s="953"/>
      <c r="I1" s="953"/>
    </row>
    <row r="2" spans="1:7" s="20" customFormat="1" ht="18.75">
      <c r="A2" s="954"/>
      <c r="B2" s="954"/>
      <c r="C2" s="954"/>
      <c r="D2" s="954"/>
      <c r="E2" s="954"/>
      <c r="F2" s="372"/>
      <c r="G2" s="372"/>
    </row>
    <row r="3" spans="1:9" s="21" customFormat="1" ht="15">
      <c r="A3" s="955" t="s">
        <v>272</v>
      </c>
      <c r="B3" s="955"/>
      <c r="C3" s="955"/>
      <c r="D3" s="955"/>
      <c r="E3" s="955"/>
      <c r="F3" s="955"/>
      <c r="G3" s="955"/>
      <c r="H3" s="955"/>
      <c r="I3" s="955"/>
    </row>
    <row r="4" spans="1:9" s="21" customFormat="1" ht="15">
      <c r="A4" s="956" t="s">
        <v>151</v>
      </c>
      <c r="B4" s="956"/>
      <c r="C4" s="956"/>
      <c r="D4" s="956"/>
      <c r="E4" s="956"/>
      <c r="F4" s="956"/>
      <c r="G4" s="956"/>
      <c r="H4" s="956"/>
      <c r="I4" s="956"/>
    </row>
    <row r="5" spans="1:9" s="21" customFormat="1" ht="15">
      <c r="A5" s="652"/>
      <c r="B5" s="653"/>
      <c r="C5" s="653"/>
      <c r="D5" s="653"/>
      <c r="E5" s="653"/>
      <c r="F5" s="337"/>
      <c r="G5" s="337"/>
      <c r="H5" s="337"/>
      <c r="I5" s="337"/>
    </row>
    <row r="6" spans="1:7" ht="14.25">
      <c r="A6" s="22"/>
      <c r="B6" s="344"/>
      <c r="C6" s="344"/>
      <c r="F6" s="344"/>
      <c r="G6" s="344"/>
    </row>
    <row r="7" spans="2:9" ht="15">
      <c r="B7" s="654" t="s">
        <v>226</v>
      </c>
      <c r="C7" s="654"/>
      <c r="D7" s="654" t="s">
        <v>18</v>
      </c>
      <c r="E7" s="654"/>
      <c r="F7" s="654" t="s">
        <v>226</v>
      </c>
      <c r="G7" s="654"/>
      <c r="H7" s="654" t="s">
        <v>18</v>
      </c>
      <c r="I7" s="654"/>
    </row>
    <row r="8" spans="1:9" ht="15">
      <c r="A8" s="655"/>
      <c r="B8" s="516" t="s">
        <v>227</v>
      </c>
      <c r="C8" s="516"/>
      <c r="D8" s="516" t="s">
        <v>135</v>
      </c>
      <c r="E8" s="516"/>
      <c r="F8" s="516" t="s">
        <v>228</v>
      </c>
      <c r="G8" s="516"/>
      <c r="H8" s="516" t="s">
        <v>136</v>
      </c>
      <c r="I8" s="516"/>
    </row>
    <row r="9" spans="2:9" ht="15">
      <c r="B9" s="656"/>
      <c r="C9" s="657"/>
      <c r="D9" s="656"/>
      <c r="E9" s="658"/>
      <c r="F9" s="656"/>
      <c r="G9" s="658"/>
      <c r="H9" s="656"/>
      <c r="I9" s="658"/>
    </row>
    <row r="10" spans="1:9" ht="15">
      <c r="A10" s="655" t="s">
        <v>274</v>
      </c>
      <c r="B10" s="656"/>
      <c r="C10" s="658"/>
      <c r="D10" s="656"/>
      <c r="E10" s="658"/>
      <c r="F10" s="656"/>
      <c r="G10" s="658"/>
      <c r="H10" s="656"/>
      <c r="I10" s="658"/>
    </row>
    <row r="11" spans="1:9" ht="15">
      <c r="A11" s="655"/>
      <c r="B11" s="656"/>
      <c r="C11" s="658"/>
      <c r="D11" s="656"/>
      <c r="E11" s="658"/>
      <c r="F11" s="656"/>
      <c r="G11" s="658"/>
      <c r="H11" s="656"/>
      <c r="I11" s="658"/>
    </row>
    <row r="12" spans="1:9" ht="15">
      <c r="A12" s="18" t="s">
        <v>275</v>
      </c>
      <c r="C12" s="574">
        <f>'[8]Earned Incurred QTD-p5'!D16</f>
        <v>4977049</v>
      </c>
      <c r="D12" s="496"/>
      <c r="E12" s="574">
        <f>'[8]Earned Incurred YTD-p6'!D16</f>
        <v>14052348</v>
      </c>
      <c r="G12" s="574">
        <f>+'[7]Income Statement (pg 2)'!$C$12</f>
        <v>4336172</v>
      </c>
      <c r="I12" s="574">
        <f>+'[7]Income Statement (pg 2)'!$E$12</f>
        <v>12605846</v>
      </c>
    </row>
    <row r="13" spans="1:9" ht="15">
      <c r="A13" s="655"/>
      <c r="C13" s="492"/>
      <c r="E13" s="492"/>
      <c r="G13" s="492"/>
      <c r="I13" s="492"/>
    </row>
    <row r="14" spans="1:9" ht="15">
      <c r="A14" s="655" t="s">
        <v>276</v>
      </c>
      <c r="C14" s="492"/>
      <c r="E14" s="492"/>
      <c r="G14" s="492"/>
      <c r="I14" s="492"/>
    </row>
    <row r="15" spans="1:9" ht="14.25">
      <c r="A15" s="18" t="s">
        <v>277</v>
      </c>
      <c r="B15" s="127">
        <f>'[8]Earned Incurred QTD-p5'!D23</f>
        <v>3008827.2250000006</v>
      </c>
      <c r="C15" s="492"/>
      <c r="D15" s="127">
        <f>'[8]Earned Incurred YTD-p6'!D23</f>
        <v>10083053.040000003</v>
      </c>
      <c r="E15" s="492"/>
      <c r="F15" s="127">
        <f>+'[7]Income Statement (pg 2)'!$B$15</f>
        <v>3666364.3599999994</v>
      </c>
      <c r="G15" s="492"/>
      <c r="H15" s="127">
        <f>+'[7]Income Statement (pg 2)'!$D$15</f>
        <v>10954919.14</v>
      </c>
      <c r="I15" s="492"/>
    </row>
    <row r="16" spans="1:9" ht="14.25">
      <c r="A16" s="18" t="s">
        <v>278</v>
      </c>
      <c r="B16" s="127">
        <f>'[8]Earned Incurred QTD-p5'!D30</f>
        <v>391930.13999999996</v>
      </c>
      <c r="C16" s="492"/>
      <c r="D16" s="127">
        <f>'[8]Earned Incurred YTD-p6'!D30</f>
        <v>1203762.75</v>
      </c>
      <c r="E16" s="492"/>
      <c r="F16" s="127">
        <f>+'[7]Income Statement (pg 2)'!$B$16</f>
        <v>411228.76</v>
      </c>
      <c r="G16" s="492"/>
      <c r="H16" s="127">
        <f>+'[7]Income Statement (pg 2)'!$D$16</f>
        <v>1134850.71</v>
      </c>
      <c r="I16" s="492"/>
    </row>
    <row r="17" spans="1:9" ht="14.25">
      <c r="A17" s="18" t="s">
        <v>279</v>
      </c>
      <c r="B17" s="127">
        <f>'[8]Earned Incurred QTD-p5'!D37</f>
        <v>502893.80000000005</v>
      </c>
      <c r="C17" s="492"/>
      <c r="D17" s="127">
        <f>+'[8]Earned Incurred YTD-p6'!D37</f>
        <v>1421253.0999999999</v>
      </c>
      <c r="E17" s="492"/>
      <c r="F17" s="127">
        <f>+'[7]Income Statement (pg 2)'!$B$17:$B$17</f>
        <v>404349.55000000005</v>
      </c>
      <c r="G17" s="492"/>
      <c r="H17" s="127">
        <f>+'[7]Income Statement (pg 2)'!$D$17</f>
        <v>1195688.7</v>
      </c>
      <c r="I17" s="492"/>
    </row>
    <row r="18" spans="1:9" ht="14.25">
      <c r="A18" s="18" t="s">
        <v>280</v>
      </c>
      <c r="B18" s="127">
        <f>'[8]Earned Incurred QTD-p5'!C39+'[8]Earned Incurred QTD-p5'!C38+'[8]Earned Incurred QTD-p5'!C43</f>
        <v>1078138.9600000002</v>
      </c>
      <c r="C18" s="492"/>
      <c r="D18" s="127">
        <f>'[8]Earned Incurred YTD-p6'!C38+'[8]Earned Incurred YTD-p6'!C39+'[8]Earned Incurred YTD-p6'!C43</f>
        <v>3156457.869999998</v>
      </c>
      <c r="E18" s="492"/>
      <c r="F18" s="127">
        <f>+'[7]Income Statement (pg 2)'!$B$18</f>
        <v>859175.9900000002</v>
      </c>
      <c r="G18" s="492"/>
      <c r="H18" s="127">
        <f>+'[7]Income Statement (pg 2)'!$D$18</f>
        <v>2663959.2600000016</v>
      </c>
      <c r="I18" s="492"/>
    </row>
    <row r="19" spans="1:9" ht="14.25">
      <c r="A19" s="18" t="s">
        <v>99</v>
      </c>
      <c r="B19" s="145">
        <f>'[8]Earned Incurred QTD-p5'!D36</f>
        <v>19861.65</v>
      </c>
      <c r="C19" s="492"/>
      <c r="D19" s="145">
        <f>'[8]Earned Incurred YTD-p6'!D36</f>
        <v>77491.65</v>
      </c>
      <c r="E19" s="492"/>
      <c r="F19" s="145">
        <f>+'[7]Income Statement (pg 2)'!$B$19</f>
        <v>11580</v>
      </c>
      <c r="G19" s="492"/>
      <c r="H19" s="145">
        <f>+'[7]Income Statement (pg 2)'!$D$19</f>
        <v>32840.51</v>
      </c>
      <c r="I19" s="492"/>
    </row>
    <row r="20" spans="1:9" ht="14.25">
      <c r="A20" s="18" t="s">
        <v>281</v>
      </c>
      <c r="C20" s="491">
        <f>SUM(B15:B19)</f>
        <v>5001651.775000001</v>
      </c>
      <c r="E20" s="491">
        <f>SUM(D15:D19)</f>
        <v>15942018.41</v>
      </c>
      <c r="G20" s="491">
        <f>SUM(F15:F19)</f>
        <v>5352698.659999999</v>
      </c>
      <c r="I20" s="491">
        <f>SUM(H15:H19)</f>
        <v>15982258.320000002</v>
      </c>
    </row>
    <row r="21" spans="3:9" ht="14.25">
      <c r="C21" s="492"/>
      <c r="E21" s="492"/>
      <c r="G21" s="492"/>
      <c r="I21" s="492"/>
    </row>
    <row r="22" spans="1:9" ht="14.25">
      <c r="A22" s="18" t="s">
        <v>385</v>
      </c>
      <c r="C22" s="491">
        <f>C12-C20</f>
        <v>-24602.775000001304</v>
      </c>
      <c r="E22" s="491">
        <f>E12-E20</f>
        <v>-1889670.4100000001</v>
      </c>
      <c r="G22" s="491">
        <f>G12-G20</f>
        <v>-1016526.6599999992</v>
      </c>
      <c r="I22" s="491">
        <f>I12-I20</f>
        <v>-3376412.320000002</v>
      </c>
    </row>
    <row r="23" spans="1:9" ht="15">
      <c r="A23" s="655"/>
      <c r="C23" s="492"/>
      <c r="E23" s="492"/>
      <c r="G23" s="492"/>
      <c r="I23" s="492"/>
    </row>
    <row r="24" spans="1:9" ht="15">
      <c r="A24" s="655" t="s">
        <v>282</v>
      </c>
      <c r="C24" s="492"/>
      <c r="E24" s="492"/>
      <c r="G24" s="492"/>
      <c r="I24" s="492"/>
    </row>
    <row r="25" spans="1:9" ht="14.25">
      <c r="A25" s="18" t="s">
        <v>283</v>
      </c>
      <c r="C25" s="492">
        <f>'[8]Earned Incurred QTD-p5'!D52</f>
        <v>26859.149999999994</v>
      </c>
      <c r="E25" s="492">
        <f>'[8]Earned Incurred YTD-p6'!D52</f>
        <v>88395.67</v>
      </c>
      <c r="G25" s="492">
        <f>+'[7]Income Statement (pg 2)'!$C$25</f>
        <v>52310.600000000006</v>
      </c>
      <c r="I25" s="492">
        <f>+'[7]Income Statement (pg 2)'!$E$25</f>
        <v>170480.6</v>
      </c>
    </row>
    <row r="26" spans="3:9" ht="14.25">
      <c r="C26" s="492"/>
      <c r="E26" s="492"/>
      <c r="G26" s="492"/>
      <c r="I26" s="492"/>
    </row>
    <row r="27" spans="1:9" ht="15" thickBot="1">
      <c r="A27" s="18" t="s">
        <v>386</v>
      </c>
      <c r="C27" s="493">
        <f>C22+C25</f>
        <v>2256.3749999986903</v>
      </c>
      <c r="E27" s="493">
        <f>E22+E25</f>
        <v>-1801274.7400000002</v>
      </c>
      <c r="G27" s="493">
        <f>G22+G25</f>
        <v>-964216.0599999992</v>
      </c>
      <c r="I27" s="493">
        <f>I22+I25</f>
        <v>-3205931.720000002</v>
      </c>
    </row>
    <row r="28" spans="1:9" ht="15">
      <c r="A28" s="655"/>
      <c r="C28" s="659"/>
      <c r="E28" s="492"/>
      <c r="G28" s="659"/>
      <c r="I28" s="492"/>
    </row>
    <row r="29" spans="1:9" ht="15">
      <c r="A29" s="655" t="s">
        <v>270</v>
      </c>
      <c r="C29" s="492"/>
      <c r="E29" s="492"/>
      <c r="G29" s="492"/>
      <c r="I29" s="492"/>
    </row>
    <row r="30" spans="1:9" ht="14.25">
      <c r="A30" s="18" t="s">
        <v>284</v>
      </c>
      <c r="C30" s="492">
        <f>'[9]Balance Sheet-p1'!$E$45</f>
        <v>-11338276.419999996</v>
      </c>
      <c r="E30" s="492">
        <f>'[9]Income Statement-p2'!$E$30</f>
        <v>-9552178.5</v>
      </c>
      <c r="G30" s="492">
        <f>+'[7]Income Statement (pg 2)'!$C$30</f>
        <v>-7427828.95</v>
      </c>
      <c r="I30" s="492">
        <v>-5217179.38</v>
      </c>
    </row>
    <row r="31" spans="1:9" ht="14.25">
      <c r="A31" s="18" t="s">
        <v>387</v>
      </c>
      <c r="B31" s="127">
        <f>C27</f>
        <v>2256.3749999986903</v>
      </c>
      <c r="C31" s="492"/>
      <c r="D31" s="127">
        <f>+'[8]Earned Incurred YTD-p6'!D54</f>
        <v>-1801274.7400000002</v>
      </c>
      <c r="E31" s="492"/>
      <c r="F31" s="127">
        <f>G27</f>
        <v>-964216.0599999992</v>
      </c>
      <c r="G31" s="492"/>
      <c r="H31" s="127">
        <f>I27</f>
        <v>-3205931.720000002</v>
      </c>
      <c r="I31" s="492"/>
    </row>
    <row r="32" spans="1:9" ht="14.25" customHeight="1">
      <c r="A32" s="18" t="s">
        <v>285</v>
      </c>
      <c r="B32" s="145">
        <v>15024.93</v>
      </c>
      <c r="D32" s="127">
        <v>32458.12</v>
      </c>
      <c r="E32" s="492"/>
      <c r="F32" s="494">
        <f>+'[7]Income Statement (pg 2)'!$B$32</f>
        <v>16655</v>
      </c>
      <c r="G32" s="492"/>
      <c r="H32" s="127">
        <f>+'[7]Income Statement (pg 2)'!$D$32</f>
        <v>-287408.34</v>
      </c>
      <c r="I32" s="492"/>
    </row>
    <row r="33" spans="1:9" ht="14.25">
      <c r="A33" s="18" t="s">
        <v>70</v>
      </c>
      <c r="B33" s="127">
        <v>0</v>
      </c>
      <c r="D33" s="127">
        <f>-40790-4979.98-26-1710</f>
        <v>-47505.979999999996</v>
      </c>
      <c r="E33" s="492"/>
      <c r="F33" s="127">
        <v>0</v>
      </c>
      <c r="H33" s="495">
        <f>+'[7]Income Statement (pg 2)'!$D$33</f>
        <v>-25.57</v>
      </c>
      <c r="I33" s="492"/>
    </row>
    <row r="34" spans="1:9" ht="14.25">
      <c r="A34" s="18" t="s">
        <v>71</v>
      </c>
      <c r="B34" s="145">
        <v>0</v>
      </c>
      <c r="C34" s="492"/>
      <c r="D34" s="145">
        <v>0</v>
      </c>
      <c r="E34" s="492"/>
      <c r="F34" s="145" t="e">
        <f>+'[10]TB09-30-02(Final)'!I931</f>
        <v>#REF!</v>
      </c>
      <c r="G34" s="492"/>
      <c r="H34" s="145">
        <f>+'[7]Income Statement (pg 2)'!$D$34</f>
        <v>335155</v>
      </c>
      <c r="I34" s="492"/>
    </row>
    <row r="35" spans="1:9" ht="14.25">
      <c r="A35" s="18" t="s">
        <v>286</v>
      </c>
      <c r="C35" s="492">
        <f>SUM(B31:B32)</f>
        <v>17281.30499999869</v>
      </c>
      <c r="E35" s="492">
        <f>SUM(D31:D32)</f>
        <v>-1768816.62</v>
      </c>
      <c r="G35" s="492">
        <f>SUM(F31:F32)</f>
        <v>-947561.0599999992</v>
      </c>
      <c r="I35" s="492">
        <f>SUM(H31:H34)</f>
        <v>-3158210.6300000018</v>
      </c>
    </row>
    <row r="36" spans="3:9" ht="14.25">
      <c r="C36" s="492"/>
      <c r="E36" s="492"/>
      <c r="G36" s="492"/>
      <c r="I36" s="492"/>
    </row>
    <row r="37" spans="1:9" ht="15.75" thickBot="1">
      <c r="A37" s="117" t="s">
        <v>229</v>
      </c>
      <c r="C37" s="570">
        <f>C30+C35</f>
        <v>-11320995.114999998</v>
      </c>
      <c r="D37" s="496"/>
      <c r="E37" s="570">
        <f>E30+E35</f>
        <v>-11320995.120000001</v>
      </c>
      <c r="G37" s="570">
        <f>G30+G35</f>
        <v>-8375390.01</v>
      </c>
      <c r="H37" s="496"/>
      <c r="I37" s="570">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5" customWidth="1"/>
    <col min="3" max="3" width="17.57421875" style="555" customWidth="1"/>
    <col min="4" max="4" width="17.28125" style="555"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90" t="s">
        <v>254</v>
      </c>
      <c r="B1" s="991"/>
      <c r="C1" s="991"/>
      <c r="D1" s="992"/>
      <c r="E1" s="994"/>
      <c r="F1" s="994"/>
      <c r="G1" s="994"/>
      <c r="H1" s="995"/>
      <c r="I1" s="45"/>
      <c r="J1" s="45"/>
      <c r="K1" s="45"/>
      <c r="L1" s="45"/>
      <c r="M1" s="996"/>
      <c r="N1" s="994"/>
      <c r="O1" s="994"/>
      <c r="P1" s="995"/>
      <c r="Q1" s="996"/>
      <c r="R1" s="994"/>
      <c r="S1" s="994"/>
      <c r="T1" s="995"/>
      <c r="U1" s="996"/>
      <c r="V1" s="994"/>
      <c r="W1" s="994"/>
      <c r="X1" s="995"/>
      <c r="Y1" s="996"/>
      <c r="Z1" s="994"/>
      <c r="AA1" s="994"/>
      <c r="AB1" s="995"/>
      <c r="AC1" s="996"/>
      <c r="AD1" s="994"/>
      <c r="AE1" s="994"/>
      <c r="AF1" s="995"/>
      <c r="AG1" s="996"/>
      <c r="AH1" s="994"/>
      <c r="AI1" s="994"/>
      <c r="AJ1" s="995"/>
      <c r="AK1" s="996"/>
      <c r="AL1" s="994"/>
      <c r="AM1" s="994"/>
      <c r="AN1" s="995"/>
      <c r="AO1" s="996"/>
      <c r="AP1" s="994"/>
      <c r="AQ1" s="994"/>
      <c r="AR1" s="995"/>
      <c r="AS1" s="996"/>
      <c r="AT1" s="994"/>
      <c r="AU1" s="994"/>
      <c r="AV1" s="995"/>
      <c r="AW1" s="996"/>
      <c r="AX1" s="994"/>
      <c r="AY1" s="994"/>
      <c r="AZ1" s="995"/>
      <c r="BA1" s="996"/>
      <c r="BB1" s="994"/>
      <c r="BC1" s="994"/>
      <c r="BD1" s="995"/>
      <c r="BE1" s="996"/>
      <c r="BF1" s="994"/>
      <c r="BG1" s="994"/>
      <c r="BH1" s="995"/>
      <c r="BI1" s="996"/>
      <c r="BJ1" s="994"/>
      <c r="BK1" s="994"/>
      <c r="BL1" s="995"/>
      <c r="BM1" s="996"/>
      <c r="BN1" s="994"/>
      <c r="BO1" s="994"/>
      <c r="BP1" s="995"/>
      <c r="BQ1" s="996"/>
      <c r="BR1" s="994"/>
      <c r="BS1" s="994"/>
      <c r="BT1" s="995"/>
      <c r="BU1" s="996"/>
      <c r="BV1" s="994"/>
      <c r="BW1" s="994"/>
      <c r="BX1" s="995"/>
      <c r="BY1" s="996"/>
      <c r="BZ1" s="994"/>
      <c r="CA1" s="994"/>
      <c r="CB1" s="995"/>
      <c r="CC1" s="996"/>
      <c r="CD1" s="994"/>
      <c r="CE1" s="994"/>
      <c r="CF1" s="995"/>
      <c r="CG1" s="996"/>
      <c r="CH1" s="994"/>
      <c r="CI1" s="994"/>
      <c r="CJ1" s="995"/>
      <c r="CK1" s="996"/>
      <c r="CL1" s="994"/>
      <c r="CM1" s="994"/>
      <c r="CN1" s="995"/>
      <c r="CO1" s="996"/>
      <c r="CP1" s="994"/>
      <c r="CQ1" s="994"/>
      <c r="CR1" s="995"/>
      <c r="CS1" s="996"/>
      <c r="CT1" s="994"/>
      <c r="CU1" s="994"/>
      <c r="CV1" s="995"/>
      <c r="CW1" s="996"/>
      <c r="CX1" s="994"/>
      <c r="CY1" s="994"/>
      <c r="CZ1" s="995"/>
      <c r="DA1" s="996"/>
      <c r="DB1" s="994"/>
      <c r="DC1" s="994"/>
      <c r="DD1" s="995"/>
      <c r="DE1" s="996"/>
      <c r="DF1" s="994"/>
      <c r="DG1" s="994"/>
      <c r="DH1" s="995"/>
      <c r="DI1" s="996"/>
      <c r="DJ1" s="994"/>
      <c r="DK1" s="994"/>
      <c r="DL1" s="995"/>
      <c r="DM1" s="996"/>
      <c r="DN1" s="994"/>
      <c r="DO1" s="994"/>
      <c r="DP1" s="995"/>
      <c r="DQ1" s="996"/>
      <c r="DR1" s="994"/>
      <c r="DS1" s="994"/>
      <c r="DT1" s="995"/>
      <c r="DU1" s="996"/>
      <c r="DV1" s="994"/>
      <c r="DW1" s="994"/>
      <c r="DX1" s="995"/>
      <c r="DY1" s="996"/>
      <c r="DZ1" s="994"/>
      <c r="EA1" s="994"/>
      <c r="EB1" s="995"/>
      <c r="EC1" s="996"/>
      <c r="ED1" s="994"/>
      <c r="EE1" s="994"/>
      <c r="EF1" s="995"/>
      <c r="EG1" s="996"/>
      <c r="EH1" s="994"/>
      <c r="EI1" s="994"/>
      <c r="EJ1" s="995"/>
      <c r="EK1" s="996"/>
      <c r="EL1" s="994"/>
      <c r="EM1" s="994"/>
      <c r="EN1" s="995"/>
      <c r="EO1" s="996"/>
      <c r="EP1" s="994"/>
      <c r="EQ1" s="994"/>
      <c r="ER1" s="995"/>
      <c r="ES1" s="996"/>
      <c r="ET1" s="994"/>
      <c r="EU1" s="994"/>
      <c r="EV1" s="995"/>
      <c r="EW1" s="996"/>
      <c r="EX1" s="994"/>
      <c r="EY1" s="994"/>
      <c r="EZ1" s="995"/>
      <c r="FA1" s="996"/>
      <c r="FB1" s="994"/>
      <c r="FC1" s="994"/>
      <c r="FD1" s="995"/>
      <c r="FE1" s="996"/>
      <c r="FF1" s="994"/>
      <c r="FG1" s="994"/>
      <c r="FH1" s="995"/>
      <c r="FI1" s="996"/>
      <c r="FJ1" s="994"/>
      <c r="FK1" s="994"/>
      <c r="FL1" s="995"/>
      <c r="FM1" s="996"/>
      <c r="FN1" s="994"/>
      <c r="FO1" s="994"/>
      <c r="FP1" s="995"/>
      <c r="FQ1" s="996"/>
      <c r="FR1" s="994"/>
      <c r="FS1" s="994"/>
      <c r="FT1" s="995"/>
      <c r="FU1" s="996"/>
      <c r="FV1" s="994"/>
      <c r="FW1" s="994"/>
      <c r="FX1" s="995"/>
      <c r="FY1" s="996"/>
      <c r="FZ1" s="994"/>
      <c r="GA1" s="994"/>
      <c r="GB1" s="995"/>
      <c r="GC1" s="996"/>
      <c r="GD1" s="994"/>
      <c r="GE1" s="994"/>
      <c r="GF1" s="995"/>
      <c r="GG1" s="996"/>
      <c r="GH1" s="994"/>
      <c r="GI1" s="994"/>
      <c r="GJ1" s="995"/>
      <c r="GK1" s="996"/>
      <c r="GL1" s="994"/>
      <c r="GM1" s="994"/>
      <c r="GN1" s="995"/>
      <c r="GO1" s="996"/>
      <c r="GP1" s="994"/>
      <c r="GQ1" s="994"/>
      <c r="GR1" s="995"/>
      <c r="GS1" s="996"/>
      <c r="GT1" s="994"/>
      <c r="GU1" s="994"/>
      <c r="GV1" s="995"/>
      <c r="GW1" s="996"/>
      <c r="GX1" s="994"/>
      <c r="GY1" s="994"/>
      <c r="GZ1" s="995"/>
      <c r="HA1" s="996"/>
      <c r="HB1" s="994"/>
      <c r="HC1" s="994"/>
      <c r="HD1" s="995"/>
      <c r="HE1" s="996"/>
      <c r="HF1" s="994"/>
      <c r="HG1" s="994"/>
      <c r="HH1" s="995"/>
      <c r="HI1" s="996"/>
      <c r="HJ1" s="994"/>
      <c r="HK1" s="994"/>
      <c r="HL1" s="995"/>
      <c r="HM1" s="996"/>
      <c r="HN1" s="994"/>
      <c r="HO1" s="994"/>
      <c r="HP1" s="995"/>
      <c r="HQ1" s="996"/>
      <c r="HR1" s="994"/>
      <c r="HS1" s="994"/>
      <c r="HT1" s="995"/>
      <c r="HU1" s="996"/>
      <c r="HV1" s="994"/>
      <c r="HW1" s="994"/>
      <c r="HX1" s="995"/>
      <c r="HY1" s="996"/>
      <c r="HZ1" s="994"/>
      <c r="IA1" s="994"/>
      <c r="IB1" s="995"/>
      <c r="IC1" s="996"/>
      <c r="ID1" s="994"/>
      <c r="IE1" s="994"/>
      <c r="IF1" s="995"/>
      <c r="IG1" s="996"/>
      <c r="IH1" s="994"/>
      <c r="II1" s="994"/>
      <c r="IJ1" s="995"/>
      <c r="IK1" s="996"/>
      <c r="IL1" s="994"/>
      <c r="IM1" s="994"/>
      <c r="IN1" s="995"/>
      <c r="IO1" s="996"/>
      <c r="IP1" s="994"/>
      <c r="IQ1" s="994"/>
      <c r="IR1" s="995"/>
      <c r="IS1" s="996"/>
      <c r="IT1" s="994"/>
      <c r="IU1" s="994"/>
      <c r="IV1" s="995"/>
    </row>
    <row r="2" spans="1:6" s="45" customFormat="1" ht="18" customHeight="1">
      <c r="A2" s="952"/>
      <c r="B2" s="946"/>
      <c r="C2" s="946"/>
      <c r="D2" s="993"/>
      <c r="F2" s="288"/>
    </row>
    <row r="3" spans="1:6" s="45" customFormat="1" ht="18.75">
      <c r="A3" s="987" t="s">
        <v>217</v>
      </c>
      <c r="B3" s="988"/>
      <c r="C3" s="988"/>
      <c r="D3" s="989"/>
      <c r="F3" s="288"/>
    </row>
    <row r="4" spans="1:6" s="45" customFormat="1" ht="18.75">
      <c r="A4" s="987" t="s">
        <v>316</v>
      </c>
      <c r="B4" s="988"/>
      <c r="C4" s="988"/>
      <c r="D4" s="989"/>
      <c r="F4" s="288"/>
    </row>
    <row r="5" spans="1:6" s="45" customFormat="1" ht="18.75">
      <c r="A5" s="987" t="str">
        <f>+'(9)Equity YTD4'!A4</f>
        <v>YTD PERIOD MARCH 31st, 2004</v>
      </c>
      <c r="B5" s="988"/>
      <c r="C5" s="988"/>
      <c r="D5" s="989"/>
      <c r="F5" s="288"/>
    </row>
    <row r="6" spans="1:6" s="18" customFormat="1" ht="15" customHeight="1">
      <c r="A6" s="417"/>
      <c r="B6" s="532"/>
      <c r="C6" s="532"/>
      <c r="D6" s="533"/>
      <c r="F6" s="22"/>
    </row>
    <row r="7" spans="1:6" s="18" customFormat="1" ht="15">
      <c r="A7" s="418" t="s">
        <v>317</v>
      </c>
      <c r="B7" s="534" t="str">
        <f>+'Earned Incurred QTD-5'!B8</f>
        <v>9-30-04</v>
      </c>
      <c r="C7" s="535"/>
      <c r="D7" s="536"/>
      <c r="F7" s="289" t="s">
        <v>361</v>
      </c>
    </row>
    <row r="8" spans="1:6" s="18" customFormat="1" ht="15">
      <c r="A8" s="418"/>
      <c r="B8" s="537" t="s">
        <v>18</v>
      </c>
      <c r="C8" s="538"/>
      <c r="D8" s="539"/>
      <c r="F8" s="290" t="s">
        <v>190</v>
      </c>
    </row>
    <row r="9" spans="1:6" s="18" customFormat="1" ht="15">
      <c r="A9" s="419"/>
      <c r="B9" s="540" t="s">
        <v>264</v>
      </c>
      <c r="C9" s="541"/>
      <c r="D9" s="542"/>
      <c r="F9" s="22"/>
    </row>
    <row r="10" spans="1:6" s="18" customFormat="1" ht="15">
      <c r="A10" s="420" t="s">
        <v>318</v>
      </c>
      <c r="B10" s="543"/>
      <c r="C10" s="480" t="e">
        <f>'(7)Premiums YTD8'!G12</f>
        <v>#REF!</v>
      </c>
      <c r="D10" s="544"/>
      <c r="E10" s="127">
        <v>16190670</v>
      </c>
      <c r="F10" s="22">
        <v>41000</v>
      </c>
    </row>
    <row r="11" spans="1:6" s="18" customFormat="1" ht="15">
      <c r="A11" s="420"/>
      <c r="B11" s="543"/>
      <c r="C11" s="479"/>
      <c r="D11" s="544"/>
      <c r="F11" s="22"/>
    </row>
    <row r="12" spans="1:6" s="18" customFormat="1" ht="14.25">
      <c r="A12" s="421" t="s">
        <v>319</v>
      </c>
      <c r="B12" s="521" t="e">
        <f>'(7)Premiums YTD8'!G18</f>
        <v>#REF!</v>
      </c>
      <c r="C12" s="122"/>
      <c r="D12" s="522"/>
      <c r="F12" s="22"/>
    </row>
    <row r="13" spans="1:6" s="18" customFormat="1" ht="14.25">
      <c r="A13" s="421" t="s">
        <v>338</v>
      </c>
      <c r="B13" s="523">
        <v>8897126</v>
      </c>
      <c r="C13" s="122"/>
      <c r="D13" s="522"/>
      <c r="F13" s="22"/>
    </row>
    <row r="14" spans="1:6" s="18" customFormat="1" ht="15" customHeight="1">
      <c r="A14" s="421" t="s">
        <v>339</v>
      </c>
      <c r="B14" s="521"/>
      <c r="C14" s="524" t="e">
        <f>B13-B12</f>
        <v>#REF!</v>
      </c>
      <c r="D14" s="522"/>
      <c r="F14" s="22">
        <v>41100</v>
      </c>
    </row>
    <row r="15" spans="1:6" s="18" customFormat="1" ht="15" customHeight="1">
      <c r="A15" s="420" t="s">
        <v>340</v>
      </c>
      <c r="B15" s="521"/>
      <c r="C15" s="122"/>
      <c r="D15" s="576" t="e">
        <f>C10+C14</f>
        <v>#REF!</v>
      </c>
      <c r="E15" s="127" t="e">
        <f>+'(7)Premiums YTD8'!G30</f>
        <v>#REF!</v>
      </c>
      <c r="F15" s="22"/>
    </row>
    <row r="16" spans="1:6" s="18" customFormat="1" ht="14.25">
      <c r="A16" s="421" t="s">
        <v>341</v>
      </c>
      <c r="B16" s="521"/>
      <c r="C16" s="122">
        <f>+'[1]TB03-31-04(Final)'!G384</f>
        <v>3791762.3499999996</v>
      </c>
      <c r="D16" s="522"/>
      <c r="F16" s="22" t="s">
        <v>362</v>
      </c>
    </row>
    <row r="17" spans="1:6" s="18" customFormat="1" ht="14.25">
      <c r="A17" s="421" t="s">
        <v>342</v>
      </c>
      <c r="B17" s="521"/>
      <c r="C17" s="524">
        <f>-'[1]TB03-31-04(Final)'!G405+1</f>
        <v>8001.969999999999</v>
      </c>
      <c r="D17" s="522"/>
      <c r="F17" s="22">
        <v>51108</v>
      </c>
    </row>
    <row r="18" spans="1:6" s="18" customFormat="1" ht="15">
      <c r="A18" s="420" t="s">
        <v>343</v>
      </c>
      <c r="B18" s="521"/>
      <c r="C18" s="122">
        <f>C16-C17</f>
        <v>3783760.3799999994</v>
      </c>
      <c r="D18" s="522"/>
      <c r="F18" s="22"/>
    </row>
    <row r="19" spans="1:6" s="18" customFormat="1" ht="14.25">
      <c r="A19" s="421" t="s">
        <v>344</v>
      </c>
      <c r="B19" s="521" t="e">
        <f>'(6)Losses Incurred YTD10'!H18</f>
        <v>#REF!</v>
      </c>
      <c r="C19" s="122" t="s">
        <v>264</v>
      </c>
      <c r="D19" s="522"/>
      <c r="F19" s="22"/>
    </row>
    <row r="20" spans="1:6" s="18" customFormat="1" ht="14.25">
      <c r="A20" s="421" t="s">
        <v>345</v>
      </c>
      <c r="B20" s="523">
        <v>5587477</v>
      </c>
      <c r="C20" s="122"/>
      <c r="D20" s="522"/>
      <c r="F20" s="22"/>
    </row>
    <row r="21" spans="1:6" s="18" customFormat="1" ht="14.25">
      <c r="A21" s="421" t="s">
        <v>346</v>
      </c>
      <c r="B21" s="526"/>
      <c r="C21" s="524" t="e">
        <f>B19-B20</f>
        <v>#REF!</v>
      </c>
      <c r="D21" s="522"/>
      <c r="F21" s="22" t="s">
        <v>363</v>
      </c>
    </row>
    <row r="22" spans="1:6" s="18" customFormat="1" ht="15">
      <c r="A22" s="420" t="s">
        <v>347</v>
      </c>
      <c r="B22" s="521"/>
      <c r="C22" s="122"/>
      <c r="D22" s="522" t="e">
        <f>C18+C21</f>
        <v>#REF!</v>
      </c>
      <c r="E22" s="48" t="e">
        <f>+'(6)Losses Incurred YTD10'!H30</f>
        <v>#REF!</v>
      </c>
      <c r="F22" s="22"/>
    </row>
    <row r="23" spans="1:6" s="18" customFormat="1" ht="14.25">
      <c r="A23" s="421" t="s">
        <v>348</v>
      </c>
      <c r="B23" s="521"/>
      <c r="C23" s="122">
        <f>+'[1]TB03-31-04(Final)'!G486</f>
        <v>292907.87</v>
      </c>
      <c r="D23" s="522"/>
      <c r="E23" s="109"/>
      <c r="F23" s="22">
        <v>51200</v>
      </c>
    </row>
    <row r="24" spans="1:6" s="18" customFormat="1" ht="14.25">
      <c r="A24" s="421" t="s">
        <v>349</v>
      </c>
      <c r="B24" s="521"/>
      <c r="C24" s="524">
        <f>+'[1]TB03-31-04(Final)'!G547</f>
        <v>139421.58999999997</v>
      </c>
      <c r="D24" s="522"/>
      <c r="F24" s="22">
        <v>51300</v>
      </c>
    </row>
    <row r="25" spans="1:6" s="18" customFormat="1" ht="15">
      <c r="A25" s="420" t="s">
        <v>350</v>
      </c>
      <c r="B25" s="521"/>
      <c r="C25" s="122">
        <f>C23+C24</f>
        <v>432329.45999999996</v>
      </c>
      <c r="D25" s="522"/>
      <c r="F25" s="22"/>
    </row>
    <row r="26" spans="1:6" s="18" customFormat="1" ht="14.25">
      <c r="A26" s="421" t="s">
        <v>351</v>
      </c>
      <c r="B26" s="521" t="e">
        <f>'(4)Loss Expenses YTD12'!H18</f>
        <v>#REF!</v>
      </c>
      <c r="C26" s="122"/>
      <c r="D26" s="522"/>
      <c r="F26" s="22"/>
    </row>
    <row r="27" spans="1:9" s="18" customFormat="1" ht="14.25">
      <c r="A27" s="421" t="s">
        <v>352</v>
      </c>
      <c r="B27" s="523">
        <v>474837</v>
      </c>
      <c r="C27" s="122"/>
      <c r="D27" s="522"/>
      <c r="F27" s="22"/>
      <c r="I27" s="122">
        <f>31050</f>
        <v>31050</v>
      </c>
    </row>
    <row r="28" spans="1:9" s="18" customFormat="1" ht="14.25">
      <c r="A28" s="421" t="s">
        <v>353</v>
      </c>
      <c r="B28" s="521"/>
      <c r="C28" s="524" t="e">
        <f>B26-B27</f>
        <v>#REF!</v>
      </c>
      <c r="D28" s="522"/>
      <c r="F28" s="22" t="s">
        <v>364</v>
      </c>
      <c r="I28" s="122">
        <f>20347.1</f>
        <v>20347.1</v>
      </c>
    </row>
    <row r="29" spans="1:9" s="18" customFormat="1" ht="15">
      <c r="A29" s="420" t="s">
        <v>354</v>
      </c>
      <c r="B29" s="521"/>
      <c r="C29" s="122"/>
      <c r="D29" s="525" t="e">
        <f>C25+C28</f>
        <v>#REF!</v>
      </c>
      <c r="E29" s="48" t="e">
        <f>+'(4)Loss Expenses YTD12'!H30</f>
        <v>#REF!</v>
      </c>
      <c r="F29" s="22"/>
      <c r="I29" s="122">
        <f>6478.27</f>
        <v>6478.27</v>
      </c>
    </row>
    <row r="30" spans="1:9" s="18" customFormat="1" ht="15">
      <c r="A30" s="420" t="s">
        <v>355</v>
      </c>
      <c r="B30" s="521"/>
      <c r="C30" s="122"/>
      <c r="D30" s="527" t="e">
        <f>D22+D29</f>
        <v>#REF!</v>
      </c>
      <c r="F30" s="22"/>
      <c r="I30" s="122">
        <f>23108.63</f>
        <v>23108.63</v>
      </c>
    </row>
    <row r="31" spans="1:9" s="18" customFormat="1" ht="14.25">
      <c r="A31" s="421" t="s">
        <v>356</v>
      </c>
      <c r="B31" s="521"/>
      <c r="C31" s="122">
        <f>23108.63+6478.27+20347.1+10350+20700+1200+600</f>
        <v>82784</v>
      </c>
      <c r="D31" s="522"/>
      <c r="F31" s="22"/>
      <c r="I31" s="122">
        <f>SUM(I27:I30)</f>
        <v>80984</v>
      </c>
    </row>
    <row r="32" spans="1:6" s="18" customFormat="1" ht="14.25">
      <c r="A32" s="421" t="s">
        <v>357</v>
      </c>
      <c r="B32" s="521">
        <f>+'Balance Sheet-1'!D36</f>
        <v>41432.32</v>
      </c>
      <c r="C32" s="122"/>
      <c r="D32" s="522"/>
      <c r="F32" s="22">
        <v>24000</v>
      </c>
    </row>
    <row r="33" spans="1:6" s="18" customFormat="1" ht="14.25">
      <c r="A33" s="421" t="s">
        <v>358</v>
      </c>
      <c r="B33" s="523">
        <v>46320</v>
      </c>
      <c r="C33" s="122" t="s">
        <v>264</v>
      </c>
      <c r="D33" s="522"/>
      <c r="F33" s="22"/>
    </row>
    <row r="34" spans="1:6" s="18" customFormat="1" ht="14.25">
      <c r="A34" s="421" t="s">
        <v>359</v>
      </c>
      <c r="B34" s="521"/>
      <c r="C34" s="524">
        <f>B32-B33</f>
        <v>-4887.68</v>
      </c>
      <c r="D34" s="522"/>
      <c r="F34" s="22"/>
    </row>
    <row r="35" spans="1:6" s="18" customFormat="1" ht="14.25" hidden="1">
      <c r="A35" s="421"/>
      <c r="B35" s="521"/>
      <c r="C35" s="122"/>
      <c r="D35" s="522"/>
      <c r="F35" s="22"/>
    </row>
    <row r="36" spans="1:10" s="18" customFormat="1" ht="15" customHeight="1">
      <c r="A36" s="420" t="s">
        <v>360</v>
      </c>
      <c r="B36" s="521"/>
      <c r="C36" s="122" t="s">
        <v>264</v>
      </c>
      <c r="D36" s="522">
        <f>SUM(C31:C35)</f>
        <v>77896.32</v>
      </c>
      <c r="E36" s="253">
        <f>+'[1]TB03-31-04(Final)'!G644</f>
        <v>22313.94</v>
      </c>
      <c r="F36" s="22">
        <v>64000</v>
      </c>
      <c r="I36" s="18">
        <v>97598.57</v>
      </c>
      <c r="J36" s="114">
        <f>+D36-I36</f>
        <v>-19702.25</v>
      </c>
    </row>
    <row r="37" spans="1:6" s="18" customFormat="1" ht="13.5" customHeight="1">
      <c r="A37" s="412" t="s">
        <v>100</v>
      </c>
      <c r="B37" s="521"/>
      <c r="C37" s="127"/>
      <c r="D37" s="528">
        <f>+'[1]TB03-31-04(Final)'!G630</f>
        <v>528557.35</v>
      </c>
      <c r="F37" s="22" t="s">
        <v>365</v>
      </c>
    </row>
    <row r="38" spans="1:6" s="18" customFormat="1" ht="13.5" customHeight="1">
      <c r="A38" s="412" t="s">
        <v>219</v>
      </c>
      <c r="B38" s="521"/>
      <c r="C38" s="122">
        <f>+'[1]TB03-31-04(Final)'!G635+'[1]TB03-31-04(Final)'!G639+'[1]TB03-31-04(Final)'!G647</f>
        <v>108491.93</v>
      </c>
      <c r="D38" s="522"/>
      <c r="F38" s="22" t="s">
        <v>366</v>
      </c>
    </row>
    <row r="39" spans="1:9" s="18" customFormat="1" ht="14.25">
      <c r="A39" s="412" t="s">
        <v>146</v>
      </c>
      <c r="B39" s="521"/>
      <c r="C39" s="572">
        <f>+'[1]TB03-31-04(Final)'!G1005-'(8)Earned Incurred YTD6'!C43</f>
        <v>995251.8099999997</v>
      </c>
      <c r="D39" s="522"/>
      <c r="E39" s="120"/>
      <c r="F39" s="22" t="s">
        <v>367</v>
      </c>
      <c r="I39" s="148"/>
    </row>
    <row r="40" spans="1:9" s="18" customFormat="1" ht="15">
      <c r="A40" s="411" t="s">
        <v>147</v>
      </c>
      <c r="B40" s="521"/>
      <c r="C40" s="573">
        <f>SUM(C38:C39)-1</f>
        <v>1103742.7399999998</v>
      </c>
      <c r="D40" s="522"/>
      <c r="E40" s="120"/>
      <c r="F40" s="22"/>
      <c r="I40" s="148"/>
    </row>
    <row r="41" spans="1:6" s="18" customFormat="1" ht="14.25">
      <c r="A41" s="412" t="s">
        <v>357</v>
      </c>
      <c r="B41" s="521">
        <f>-'[1]TB03-31-04(Final)'!G217</f>
        <v>330321.9</v>
      </c>
      <c r="C41" s="122"/>
      <c r="D41" s="522"/>
      <c r="F41" s="22"/>
    </row>
    <row r="42" spans="1:6" s="18" customFormat="1" ht="14.25">
      <c r="A42" s="412" t="s">
        <v>358</v>
      </c>
      <c r="B42" s="523">
        <v>356304</v>
      </c>
      <c r="C42" s="122" t="s">
        <v>264</v>
      </c>
      <c r="D42" s="522"/>
      <c r="F42" s="22"/>
    </row>
    <row r="43" spans="1:6" s="18" customFormat="1" ht="14.25">
      <c r="A43" s="412" t="s">
        <v>148</v>
      </c>
      <c r="B43" s="521"/>
      <c r="C43" s="524">
        <f>B41-B42</f>
        <v>-25982.099999999977</v>
      </c>
      <c r="D43" s="522"/>
      <c r="E43" s="238">
        <f>+C38+C39+C43</f>
        <v>1077761.6399999997</v>
      </c>
      <c r="F43" s="22"/>
    </row>
    <row r="44" spans="1:6" s="18" customFormat="1" ht="15">
      <c r="A44" s="411" t="s">
        <v>218</v>
      </c>
      <c r="B44" s="521"/>
      <c r="C44" s="122"/>
      <c r="D44" s="525">
        <f>SUM(C40:C43)+2</f>
        <v>1077762.6399999997</v>
      </c>
      <c r="E44" s="120"/>
      <c r="F44" s="22"/>
    </row>
    <row r="45" spans="1:6" s="18" customFormat="1" ht="15">
      <c r="A45" s="411" t="s">
        <v>149</v>
      </c>
      <c r="B45" s="521"/>
      <c r="C45" s="122"/>
      <c r="D45" s="571">
        <f>SUM(D36:D44)</f>
        <v>1684216.3099999996</v>
      </c>
      <c r="E45" s="120"/>
      <c r="F45" s="22"/>
    </row>
    <row r="46" spans="1:10" s="18" customFormat="1" ht="30">
      <c r="A46" s="411" t="s">
        <v>150</v>
      </c>
      <c r="B46" s="521"/>
      <c r="C46" s="122"/>
      <c r="D46" s="529" t="e">
        <f>SUM(D30:D44)</f>
        <v>#REF!</v>
      </c>
      <c r="F46" s="22"/>
      <c r="I46" s="18">
        <v>22008562.28</v>
      </c>
      <c r="J46" s="114" t="e">
        <f>+D46-I46</f>
        <v>#REF!</v>
      </c>
    </row>
    <row r="47" spans="1:6" s="18" customFormat="1" ht="15">
      <c r="A47" s="420" t="s">
        <v>22</v>
      </c>
      <c r="B47" s="521"/>
      <c r="C47" s="122"/>
      <c r="D47" s="613" t="e">
        <f>D15-D46</f>
        <v>#REF!</v>
      </c>
      <c r="F47" s="22"/>
    </row>
    <row r="48" spans="1:6" s="18" customFormat="1" ht="14.25">
      <c r="A48" s="421" t="s">
        <v>199</v>
      </c>
      <c r="B48" s="521"/>
      <c r="C48" s="122">
        <f>-'[1]TB03-31-04(Final)'!G356-'[1]TB03-31-04(Final)'!G343-'[1]TB03-31-04(Final)'!F347+'(8)Earned Incurred YTD6'!B50</f>
        <v>44581.64</v>
      </c>
      <c r="D48" s="522"/>
      <c r="F48" s="22" t="s">
        <v>369</v>
      </c>
    </row>
    <row r="49" spans="1:6" s="18" customFormat="1" ht="14.25">
      <c r="A49" s="421" t="s">
        <v>374</v>
      </c>
      <c r="B49" s="521">
        <f>+'[1]TB03-31-04(Final)'!G25</f>
        <v>10038.47</v>
      </c>
      <c r="C49" s="122"/>
      <c r="D49" s="522"/>
      <c r="F49" s="22">
        <v>12150</v>
      </c>
    </row>
    <row r="50" spans="1:6" s="18" customFormat="1" ht="14.25">
      <c r="A50" s="421" t="s">
        <v>375</v>
      </c>
      <c r="B50" s="523">
        <v>17084</v>
      </c>
      <c r="C50" s="122" t="s">
        <v>264</v>
      </c>
      <c r="D50" s="522"/>
      <c r="F50" s="22"/>
    </row>
    <row r="51" spans="1:6" s="18" customFormat="1" ht="15">
      <c r="A51" s="421" t="s">
        <v>376</v>
      </c>
      <c r="B51" s="521"/>
      <c r="C51" s="524">
        <f>B49-B50</f>
        <v>-7045.530000000001</v>
      </c>
      <c r="D51" s="527"/>
      <c r="F51" s="22"/>
    </row>
    <row r="52" spans="1:9" s="18" customFormat="1" ht="15">
      <c r="A52" s="420" t="s">
        <v>200</v>
      </c>
      <c r="B52" s="521"/>
      <c r="C52" s="122"/>
      <c r="D52" s="531">
        <f>C48+C51</f>
        <v>37536.11</v>
      </c>
      <c r="E52" s="253">
        <f>+'[1]TB03-31-04(Final)'!G348</f>
        <v>-29950.73</v>
      </c>
      <c r="F52" s="22" t="s">
        <v>368</v>
      </c>
      <c r="I52" s="148"/>
    </row>
    <row r="53" spans="1:10" s="18" customFormat="1" ht="15">
      <c r="A53" s="422"/>
      <c r="B53" s="543"/>
      <c r="C53" s="359"/>
      <c r="D53" s="547"/>
      <c r="F53" s="22"/>
      <c r="J53" s="114"/>
    </row>
    <row r="54" spans="1:9" s="18" customFormat="1" ht="15">
      <c r="A54" s="423" t="s">
        <v>23</v>
      </c>
      <c r="B54" s="545"/>
      <c r="C54" s="546"/>
      <c r="D54" s="548" t="e">
        <f>D47+D52</f>
        <v>#REF!</v>
      </c>
      <c r="F54" s="22" t="s">
        <v>24</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6"/>
      <c r="C56" s="496"/>
      <c r="D56" s="496" t="e">
        <f>+D54+D55</f>
        <v>#REF!</v>
      </c>
      <c r="E56" s="120" t="e">
        <f>+#REF!+D56</f>
        <v>#REF!</v>
      </c>
      <c r="F56" s="22"/>
      <c r="I56" s="114"/>
      <c r="J56" s="114"/>
    </row>
    <row r="57" spans="1:10" s="18" customFormat="1" ht="14.25">
      <c r="A57" s="997"/>
      <c r="B57" s="998"/>
      <c r="C57" s="998"/>
      <c r="D57" s="998"/>
      <c r="F57" s="22"/>
      <c r="J57" s="114"/>
    </row>
    <row r="58" spans="1:6" s="18" customFormat="1" ht="15">
      <c r="A58" s="144"/>
      <c r="B58" s="549"/>
      <c r="C58" s="550"/>
      <c r="D58" s="550"/>
      <c r="F58" s="22"/>
    </row>
    <row r="59" spans="1:6" s="18" customFormat="1" ht="15">
      <c r="A59" s="986" t="s">
        <v>75</v>
      </c>
      <c r="B59" s="986"/>
      <c r="C59" s="986"/>
      <c r="D59" s="550"/>
      <c r="F59" s="22"/>
    </row>
    <row r="60" spans="1:6" s="18" customFormat="1" ht="15">
      <c r="A60" s="47"/>
      <c r="B60" s="496"/>
      <c r="C60" s="551"/>
      <c r="D60" s="551"/>
      <c r="F60" s="22"/>
    </row>
    <row r="61" spans="1:6" s="18" customFormat="1" ht="15">
      <c r="A61" s="47"/>
      <c r="B61" s="496"/>
      <c r="C61" s="551"/>
      <c r="D61" s="551"/>
      <c r="F61" s="22"/>
    </row>
    <row r="62" spans="1:6" s="18" customFormat="1" ht="15">
      <c r="A62" s="47"/>
      <c r="B62" s="496"/>
      <c r="C62" s="551"/>
      <c r="D62" s="551"/>
      <c r="F62" s="22"/>
    </row>
    <row r="63" spans="1:6" s="18" customFormat="1" ht="15">
      <c r="A63" s="47"/>
      <c r="B63" s="496"/>
      <c r="C63" s="551"/>
      <c r="D63" s="551"/>
      <c r="F63" s="22"/>
    </row>
    <row r="64" spans="1:6" s="18" customFormat="1" ht="15">
      <c r="A64" s="115"/>
      <c r="B64" s="496"/>
      <c r="C64" s="552"/>
      <c r="D64" s="552"/>
      <c r="F64" s="22"/>
    </row>
    <row r="65" spans="1:6" s="18" customFormat="1" ht="15">
      <c r="A65" s="115"/>
      <c r="B65" s="359"/>
      <c r="C65" s="552"/>
      <c r="D65" s="552"/>
      <c r="F65" s="22"/>
    </row>
    <row r="66" spans="1:6" s="18" customFormat="1" ht="15">
      <c r="A66" s="115"/>
      <c r="B66" s="496"/>
      <c r="C66" s="552"/>
      <c r="D66" s="552"/>
      <c r="F66" s="22"/>
    </row>
    <row r="67" spans="1:6" s="18" customFormat="1" ht="15">
      <c r="A67" s="115"/>
      <c r="B67" s="496"/>
      <c r="C67" s="552"/>
      <c r="D67" s="552"/>
      <c r="F67" s="22"/>
    </row>
    <row r="68" spans="2:6" s="18" customFormat="1" ht="15">
      <c r="B68" s="496"/>
      <c r="C68" s="552"/>
      <c r="D68" s="552"/>
      <c r="F68" s="22"/>
    </row>
    <row r="69" spans="1:6" s="18" customFormat="1" ht="15">
      <c r="A69" s="115"/>
      <c r="B69" s="496"/>
      <c r="C69" s="552"/>
      <c r="D69" s="496"/>
      <c r="F69" s="22"/>
    </row>
    <row r="70" spans="1:6" s="18" customFormat="1" ht="15">
      <c r="A70" s="115"/>
      <c r="B70" s="496"/>
      <c r="C70" s="552"/>
      <c r="D70" s="496"/>
      <c r="F70" s="22"/>
    </row>
    <row r="71" spans="1:6" s="18" customFormat="1" ht="15">
      <c r="A71" s="121"/>
      <c r="B71" s="496"/>
      <c r="C71" s="552"/>
      <c r="D71" s="496"/>
      <c r="F71" s="22"/>
    </row>
    <row r="72" spans="1:6" s="18" customFormat="1" ht="15">
      <c r="A72" s="115"/>
      <c r="B72" s="359"/>
      <c r="C72" s="552"/>
      <c r="D72" s="553"/>
      <c r="F72" s="22"/>
    </row>
    <row r="73" spans="1:6" s="18" customFormat="1" ht="15">
      <c r="A73" s="115"/>
      <c r="B73" s="552"/>
      <c r="C73" s="554"/>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6"/>
      <c r="C85" s="359"/>
      <c r="D85" s="496"/>
      <c r="F85" s="22"/>
    </row>
    <row r="86" spans="1:6" s="18" customFormat="1" ht="14.25">
      <c r="A86" s="47"/>
      <c r="B86" s="496"/>
      <c r="C86" s="496"/>
      <c r="D86" s="496"/>
      <c r="F86" s="22"/>
    </row>
    <row r="87" spans="1:6" s="18" customFormat="1" ht="14.25">
      <c r="A87" s="47"/>
      <c r="B87" s="496"/>
      <c r="C87" s="496"/>
      <c r="D87" s="496"/>
      <c r="F87" s="22"/>
    </row>
    <row r="88" spans="1:6" s="18" customFormat="1" ht="14.25">
      <c r="A88" s="47"/>
      <c r="B88" s="496"/>
      <c r="C88" s="496"/>
      <c r="D88" s="496"/>
      <c r="F88" s="22"/>
    </row>
    <row r="89" spans="1:6" s="18" customFormat="1" ht="14.25">
      <c r="A89" s="47"/>
      <c r="B89" s="496"/>
      <c r="C89" s="496"/>
      <c r="D89" s="496"/>
      <c r="F89" s="22"/>
    </row>
    <row r="90" spans="1:6" s="18" customFormat="1" ht="14.25">
      <c r="A90" s="47"/>
      <c r="B90" s="496"/>
      <c r="C90" s="496"/>
      <c r="D90" s="496"/>
      <c r="F90" s="22"/>
    </row>
    <row r="91" spans="1:6" s="18" customFormat="1" ht="14.25">
      <c r="A91" s="47"/>
      <c r="B91" s="496"/>
      <c r="C91" s="496"/>
      <c r="D91" s="496"/>
      <c r="F91" s="22"/>
    </row>
    <row r="92" spans="1:6" s="18" customFormat="1" ht="14.25">
      <c r="A92" s="47"/>
      <c r="B92" s="496"/>
      <c r="C92" s="496"/>
      <c r="D92" s="496"/>
      <c r="F92" s="22"/>
    </row>
    <row r="93" spans="1:6" s="18" customFormat="1" ht="14.25">
      <c r="A93" s="47"/>
      <c r="B93" s="496"/>
      <c r="C93" s="496"/>
      <c r="D93" s="496"/>
      <c r="F93" s="22"/>
    </row>
    <row r="94" spans="1:6" s="18" customFormat="1" ht="14.25">
      <c r="A94" s="47"/>
      <c r="B94" s="496"/>
      <c r="C94" s="496"/>
      <c r="D94" s="496"/>
      <c r="F94" s="22"/>
    </row>
    <row r="95" spans="1:6" s="18" customFormat="1" ht="14.25">
      <c r="A95" s="47"/>
      <c r="B95" s="496"/>
      <c r="C95" s="496"/>
      <c r="D95" s="496"/>
      <c r="F95" s="22"/>
    </row>
    <row r="96" spans="1:6" s="18" customFormat="1" ht="14.25">
      <c r="A96" s="47"/>
      <c r="B96" s="496"/>
      <c r="C96" s="496"/>
      <c r="D96" s="496"/>
      <c r="F96" s="22"/>
    </row>
    <row r="97" spans="1:6" s="18" customFormat="1" ht="14.25">
      <c r="A97" s="47"/>
      <c r="B97" s="496"/>
      <c r="C97" s="496"/>
      <c r="D97" s="496"/>
      <c r="F97" s="22"/>
    </row>
    <row r="98" spans="1:6" s="18" customFormat="1" ht="14.25">
      <c r="A98" s="47"/>
      <c r="B98" s="496"/>
      <c r="C98" s="496"/>
      <c r="D98" s="496"/>
      <c r="F98" s="22"/>
    </row>
    <row r="99" spans="1:6" s="18" customFormat="1" ht="14.25">
      <c r="A99" s="47"/>
      <c r="B99" s="496"/>
      <c r="C99" s="496"/>
      <c r="D99" s="496"/>
      <c r="F99" s="22"/>
    </row>
    <row r="100" spans="1:6" s="18" customFormat="1" ht="14.25">
      <c r="A100" s="47"/>
      <c r="B100" s="496"/>
      <c r="C100" s="496"/>
      <c r="D100" s="496"/>
      <c r="F100" s="22"/>
    </row>
    <row r="101" spans="1:6" s="18" customFormat="1" ht="14.25">
      <c r="A101" s="47"/>
      <c r="B101" s="496"/>
      <c r="C101" s="496"/>
      <c r="D101" s="496"/>
      <c r="F101" s="22"/>
    </row>
    <row r="102" spans="1:6" s="18" customFormat="1" ht="14.25">
      <c r="A102" s="47"/>
      <c r="B102" s="496"/>
      <c r="C102" s="496"/>
      <c r="D102" s="496"/>
      <c r="F102" s="22"/>
    </row>
    <row r="103" spans="1:6" s="18" customFormat="1" ht="14.25">
      <c r="A103" s="47"/>
      <c r="B103" s="496"/>
      <c r="C103" s="496"/>
      <c r="D103" s="496"/>
      <c r="F103" s="22"/>
    </row>
    <row r="104" spans="1:6" s="18" customFormat="1" ht="14.25">
      <c r="A104" s="47"/>
      <c r="B104" s="496"/>
      <c r="C104" s="496"/>
      <c r="D104" s="496"/>
      <c r="F104" s="22"/>
    </row>
    <row r="105" spans="1:6" s="18" customFormat="1" ht="14.25">
      <c r="A105" s="47"/>
      <c r="B105" s="555"/>
      <c r="C105" s="496"/>
      <c r="D105" s="555"/>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603" customWidth="1"/>
    <col min="9" max="9" width="11.421875" style="2" bestFit="1" customWidth="1"/>
    <col min="10" max="16384" width="9.140625" style="2" customWidth="1"/>
  </cols>
  <sheetData>
    <row r="1" spans="1:8" s="257" customFormat="1" ht="25.5">
      <c r="A1" s="438" t="s">
        <v>254</v>
      </c>
      <c r="B1" s="438"/>
      <c r="C1" s="438"/>
      <c r="D1" s="438"/>
      <c r="E1" s="438"/>
      <c r="F1" s="438"/>
      <c r="G1" s="439"/>
      <c r="H1" s="600"/>
    </row>
    <row r="2" spans="1:8" s="98" customFormat="1" ht="18" customHeight="1">
      <c r="A2" s="440"/>
      <c r="B2" s="441"/>
      <c r="C2" s="441"/>
      <c r="D2" s="441"/>
      <c r="E2" s="441"/>
      <c r="F2" s="441"/>
      <c r="G2" s="442"/>
      <c r="H2" s="601"/>
    </row>
    <row r="3" spans="1:8" s="98" customFormat="1" ht="18" customHeight="1">
      <c r="A3" s="443" t="s">
        <v>377</v>
      </c>
      <c r="B3" s="443"/>
      <c r="C3" s="443"/>
      <c r="D3" s="443"/>
      <c r="E3" s="443"/>
      <c r="F3" s="443"/>
      <c r="G3" s="442"/>
      <c r="H3" s="601"/>
    </row>
    <row r="4" spans="1:8" s="14" customFormat="1" ht="15">
      <c r="A4" s="443" t="str">
        <f>+'(8)Earned Incurred YTD6'!A5:D5</f>
        <v>YTD PERIOD MARCH 31st, 2004</v>
      </c>
      <c r="B4" s="443"/>
      <c r="C4" s="443"/>
      <c r="D4" s="443"/>
      <c r="E4" s="443"/>
      <c r="F4" s="443"/>
      <c r="G4" s="442"/>
      <c r="H4" s="602"/>
    </row>
    <row r="5" spans="1:8" s="14" customFormat="1" ht="15">
      <c r="A5" s="443"/>
      <c r="B5" s="443"/>
      <c r="C5" s="443"/>
      <c r="D5" s="443"/>
      <c r="E5" s="443"/>
      <c r="F5" s="443"/>
      <c r="G5" s="442"/>
      <c r="H5" s="602"/>
    </row>
    <row r="6" spans="1:8" s="14" customFormat="1" ht="15.75">
      <c r="A6" s="444"/>
      <c r="B6" s="444"/>
      <c r="C6" s="444"/>
      <c r="D6" s="444"/>
      <c r="E6" s="444"/>
      <c r="F6" s="444"/>
      <c r="G6" s="444"/>
      <c r="H6" s="602"/>
    </row>
    <row r="7" spans="1:8" s="14" customFormat="1" ht="30">
      <c r="A7" s="445"/>
      <c r="B7" s="446" t="s">
        <v>42</v>
      </c>
      <c r="C7" s="446" t="s">
        <v>46</v>
      </c>
      <c r="D7" s="446" t="s">
        <v>143</v>
      </c>
      <c r="E7" s="446" t="s">
        <v>216</v>
      </c>
      <c r="F7" s="446" t="s">
        <v>98</v>
      </c>
      <c r="G7" s="447" t="s">
        <v>255</v>
      </c>
      <c r="H7" s="602"/>
    </row>
    <row r="8" spans="1:7" ht="15.75">
      <c r="A8" s="448" t="s">
        <v>378</v>
      </c>
      <c r="B8" s="449"/>
      <c r="C8" s="449"/>
      <c r="D8" s="449"/>
      <c r="E8" s="449"/>
      <c r="F8" s="449"/>
      <c r="G8" s="449"/>
    </row>
    <row r="9" spans="1:8" s="99" customFormat="1" ht="15">
      <c r="A9" s="449" t="s">
        <v>447</v>
      </c>
      <c r="B9" s="475">
        <f>-SUM('[1]TB03-31-04(Final)'!F297)</f>
        <v>91475</v>
      </c>
      <c r="C9" s="475">
        <f>-SUM('[1]TB03-31-04(Final)'!F296)</f>
        <v>-3288</v>
      </c>
      <c r="D9" s="475">
        <f>-SUM('[1]TB03-31-04(Final)'!F295)</f>
        <v>0</v>
      </c>
      <c r="E9" s="561">
        <f>-SUM('[1]TB03-31-04(Final)'!F294)</f>
        <v>0</v>
      </c>
      <c r="F9" s="126">
        <f>-SUM('[1]TB03-31-04(Final)'!F293)</f>
        <v>0</v>
      </c>
      <c r="G9" s="556">
        <f>SUM(B9:F9)</f>
        <v>88187</v>
      </c>
      <c r="H9" s="604"/>
    </row>
    <row r="10" spans="1:8" ht="15.75">
      <c r="A10" s="449" t="s">
        <v>392</v>
      </c>
      <c r="B10" s="126">
        <f>-SUM('[1]TB03-31-04(Final)'!F306)</f>
        <v>27184</v>
      </c>
      <c r="C10" s="126">
        <f>-SUM('[1]TB03-31-04(Final)'!F305)</f>
        <v>-791</v>
      </c>
      <c r="D10" s="126">
        <f>-SUM('[1]TB03-31-04(Final)'!F304)</f>
        <v>0</v>
      </c>
      <c r="E10" s="126">
        <f>-SUM('[1]TB03-31-04(Final)'!F303)</f>
        <v>0</v>
      </c>
      <c r="F10" s="126">
        <f>-SUM('[1]TB03-31-04(Final)'!F302)</f>
        <v>0</v>
      </c>
      <c r="G10" s="559">
        <f>SUM(B10:F10)</f>
        <v>26393</v>
      </c>
      <c r="H10" s="604"/>
    </row>
    <row r="11" spans="1:22" ht="15.75">
      <c r="A11" s="449" t="s">
        <v>393</v>
      </c>
      <c r="B11" s="126">
        <f>-'[1]TB03-31-04(Final)'!F315</f>
        <v>-19</v>
      </c>
      <c r="C11" s="126">
        <f>-'[1]TB03-31-04(Final)'!F314</f>
        <v>1</v>
      </c>
      <c r="D11" s="126">
        <v>0</v>
      </c>
      <c r="E11" s="126" t="e">
        <f>-'[1]TB03-31-04(Final)'!F310</f>
        <v>#REF!</v>
      </c>
      <c r="F11" s="126" t="e">
        <f>-'[1]TB03-31-04(Final)'!F311</f>
        <v>#REF!</v>
      </c>
      <c r="G11" s="562" t="e">
        <f>SUM(B11:F11)</f>
        <v>#REF!</v>
      </c>
      <c r="H11" s="604"/>
      <c r="I11" s="100"/>
      <c r="J11" s="100"/>
      <c r="K11" s="100"/>
      <c r="L11" s="100"/>
      <c r="M11" s="100"/>
      <c r="N11" s="100"/>
      <c r="O11" s="100"/>
      <c r="P11" s="100"/>
      <c r="Q11" s="100"/>
      <c r="R11" s="100"/>
      <c r="S11" s="100"/>
      <c r="T11" s="100"/>
      <c r="U11" s="100"/>
      <c r="V11" s="100"/>
    </row>
    <row r="12" spans="1:22" s="4" customFormat="1" ht="16.5" thickBot="1">
      <c r="A12" s="450" t="s">
        <v>382</v>
      </c>
      <c r="B12" s="138">
        <f aca="true" t="shared" si="0" ref="B12:G12">SUM(B9:B11)</f>
        <v>118640</v>
      </c>
      <c r="C12" s="138">
        <f t="shared" si="0"/>
        <v>-4078</v>
      </c>
      <c r="D12" s="138">
        <f t="shared" si="0"/>
        <v>0</v>
      </c>
      <c r="E12" s="138" t="e">
        <f t="shared" si="0"/>
        <v>#REF!</v>
      </c>
      <c r="F12" s="138" t="e">
        <f t="shared" si="0"/>
        <v>#REF!</v>
      </c>
      <c r="G12" s="560"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171</v>
      </c>
      <c r="B14" s="563"/>
      <c r="C14" s="563"/>
      <c r="D14" s="563"/>
      <c r="E14" s="563"/>
      <c r="F14" s="126"/>
      <c r="G14" s="126"/>
      <c r="H14" s="605"/>
      <c r="I14" s="88"/>
      <c r="J14" s="88"/>
      <c r="K14" s="88"/>
      <c r="L14" s="88"/>
      <c r="M14" s="88"/>
      <c r="N14" s="88"/>
      <c r="O14" s="88"/>
      <c r="P14" s="88"/>
      <c r="Q14" s="88"/>
      <c r="R14" s="88"/>
      <c r="S14" s="88"/>
      <c r="T14" s="88"/>
      <c r="U14" s="88"/>
      <c r="V14" s="88"/>
    </row>
    <row r="15" spans="1:22" s="4" customFormat="1" ht="15.75">
      <c r="A15" s="449" t="s">
        <v>447</v>
      </c>
      <c r="B15" s="126">
        <f>-'[1]TB03-31-04(Final)'!F51</f>
        <v>4674519</v>
      </c>
      <c r="C15" s="126">
        <f>-'[1]TB03-31-04(Final)'!F50</f>
        <v>0</v>
      </c>
      <c r="D15" s="126">
        <f>-'[1]TB03-31-04(Final)'!F49</f>
        <v>0</v>
      </c>
      <c r="E15" s="126" t="e">
        <f>-'[1]TB03-31-04(Final)'!F48</f>
        <v>#REF!</v>
      </c>
      <c r="F15" s="126">
        <v>0</v>
      </c>
      <c r="G15" s="559" t="e">
        <f>SUM(B15:F15)</f>
        <v>#REF!</v>
      </c>
      <c r="H15" s="301"/>
      <c r="I15" s="88"/>
      <c r="J15" s="88"/>
      <c r="K15" s="88"/>
      <c r="L15" s="88"/>
      <c r="M15" s="88"/>
      <c r="N15" s="88"/>
      <c r="O15" s="88"/>
      <c r="P15" s="88"/>
      <c r="Q15" s="88"/>
      <c r="R15" s="88"/>
      <c r="S15" s="88"/>
      <c r="T15" s="88"/>
      <c r="U15" s="88"/>
      <c r="V15" s="88"/>
    </row>
    <row r="16" spans="1:22" s="4" customFormat="1" ht="16.5" customHeight="1">
      <c r="A16" s="449" t="s">
        <v>392</v>
      </c>
      <c r="B16" s="126">
        <f>-'[1]TB03-31-04(Final)'!F57</f>
        <v>1490507</v>
      </c>
      <c r="C16" s="126">
        <f>-'[1]TB03-31-04(Final)'!F56</f>
        <v>0</v>
      </c>
      <c r="D16" s="126">
        <f>-'[1]TB03-31-04(Final)'!F55</f>
        <v>0</v>
      </c>
      <c r="E16" s="126" t="e">
        <f>-'[1]TB03-31-04(Final)'!F54</f>
        <v>#REF!</v>
      </c>
      <c r="F16" s="126" t="e">
        <f>-'[1]TB03-31-04(Final)'!F53</f>
        <v>#REF!</v>
      </c>
      <c r="G16" s="559" t="e">
        <f>SUM(B16:F16)</f>
        <v>#REF!</v>
      </c>
      <c r="H16" s="301"/>
      <c r="I16" s="88"/>
      <c r="J16" s="88"/>
      <c r="K16" s="88"/>
      <c r="L16" s="88"/>
      <c r="M16" s="88"/>
      <c r="N16" s="88"/>
      <c r="O16" s="88"/>
      <c r="P16" s="88"/>
      <c r="Q16" s="88"/>
      <c r="R16" s="88"/>
      <c r="S16" s="88"/>
      <c r="T16" s="88"/>
      <c r="U16" s="88"/>
      <c r="V16" s="88"/>
    </row>
    <row r="17" spans="1:22" s="4" customFormat="1" ht="15.75">
      <c r="A17" s="449" t="s">
        <v>393</v>
      </c>
      <c r="B17" s="126">
        <f>-'[1]TB03-31-04(Final)'!F63</f>
        <v>19657</v>
      </c>
      <c r="C17" s="126">
        <f>-'[1]TB03-31-04(Final)'!F62</f>
        <v>0</v>
      </c>
      <c r="D17" s="126">
        <f>-'[1]TB03-31-04(Final)'!F61</f>
        <v>0</v>
      </c>
      <c r="E17" s="126" t="e">
        <f>-'[1]TB03-31-04(Final)'!F60</f>
        <v>#REF!</v>
      </c>
      <c r="F17" s="126" t="e">
        <f>-'[1]TB03-31-04(Final)'!F59</f>
        <v>#REF!</v>
      </c>
      <c r="G17" s="559" t="e">
        <f>SUM(B17:F17)</f>
        <v>#REF!</v>
      </c>
      <c r="H17" s="301"/>
      <c r="I17" s="88"/>
      <c r="J17" s="88"/>
      <c r="K17" s="88"/>
      <c r="L17" s="88"/>
      <c r="M17" s="88"/>
      <c r="N17" s="88"/>
      <c r="O17" s="88"/>
      <c r="P17" s="88"/>
      <c r="Q17" s="88"/>
      <c r="R17" s="88"/>
      <c r="S17" s="88"/>
      <c r="T17" s="88"/>
      <c r="U17" s="88"/>
      <c r="V17" s="88"/>
    </row>
    <row r="18" spans="1:22" s="4" customFormat="1" ht="16.5" thickBot="1">
      <c r="A18" s="450" t="s">
        <v>382</v>
      </c>
      <c r="B18" s="138">
        <f aca="true" t="shared" si="1" ref="B18:G18">SUM(B15:B17)</f>
        <v>6184683</v>
      </c>
      <c r="C18" s="138">
        <f t="shared" si="1"/>
        <v>0</v>
      </c>
      <c r="D18" s="138">
        <f t="shared" si="1"/>
        <v>0</v>
      </c>
      <c r="E18" s="138" t="e">
        <f t="shared" si="1"/>
        <v>#REF!</v>
      </c>
      <c r="F18" s="138" t="e">
        <f t="shared" si="1"/>
        <v>#REF!</v>
      </c>
      <c r="G18" s="560"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205</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447</v>
      </c>
      <c r="B21" s="126">
        <v>0</v>
      </c>
      <c r="C21" s="126">
        <v>6494180</v>
      </c>
      <c r="D21" s="126">
        <v>0</v>
      </c>
      <c r="E21" s="126">
        <v>0</v>
      </c>
      <c r="F21" s="126">
        <v>0</v>
      </c>
      <c r="G21" s="559">
        <f>SUM(B21:F21)</f>
        <v>6494180</v>
      </c>
      <c r="H21" s="301"/>
      <c r="I21" s="88"/>
      <c r="J21" s="88"/>
      <c r="K21" s="88"/>
      <c r="L21" s="88"/>
      <c r="M21" s="88"/>
      <c r="N21" s="88"/>
      <c r="O21" s="88"/>
      <c r="P21" s="88"/>
      <c r="Q21" s="88"/>
      <c r="R21" s="88"/>
      <c r="S21" s="88"/>
      <c r="T21" s="88"/>
      <c r="U21" s="88"/>
      <c r="V21" s="88"/>
    </row>
    <row r="22" spans="1:22" s="4" customFormat="1" ht="15.75">
      <c r="A22" s="449" t="s">
        <v>392</v>
      </c>
      <c r="B22" s="126">
        <v>0</v>
      </c>
      <c r="C22" s="126">
        <v>2362142</v>
      </c>
      <c r="D22" s="126">
        <v>0</v>
      </c>
      <c r="E22" s="126">
        <v>0</v>
      </c>
      <c r="F22" s="126">
        <v>0</v>
      </c>
      <c r="G22" s="559">
        <f>SUM(B22:F22)</f>
        <v>2362142</v>
      </c>
      <c r="H22" s="301"/>
      <c r="I22" s="88"/>
      <c r="J22" s="88"/>
      <c r="K22" s="88"/>
      <c r="L22" s="88"/>
      <c r="M22" s="88"/>
      <c r="N22" s="88"/>
      <c r="O22" s="88"/>
      <c r="P22" s="88"/>
      <c r="Q22" s="88"/>
      <c r="R22" s="88"/>
      <c r="S22" s="88"/>
      <c r="T22" s="88"/>
      <c r="U22" s="88"/>
      <c r="V22" s="88"/>
    </row>
    <row r="23" spans="1:22" s="4" customFormat="1" ht="15.75">
      <c r="A23" s="449" t="s">
        <v>393</v>
      </c>
      <c r="B23" s="126">
        <v>0</v>
      </c>
      <c r="C23" s="126">
        <v>40804</v>
      </c>
      <c r="D23" s="126">
        <v>0</v>
      </c>
      <c r="E23" s="126">
        <v>0</v>
      </c>
      <c r="F23" s="126">
        <v>0</v>
      </c>
      <c r="G23" s="559">
        <f>SUM(B23:F23)</f>
        <v>40804</v>
      </c>
      <c r="H23" s="301"/>
      <c r="I23" s="88"/>
      <c r="J23" s="88"/>
      <c r="K23" s="88"/>
      <c r="L23" s="88"/>
      <c r="M23" s="88"/>
      <c r="N23" s="88"/>
      <c r="O23" s="88"/>
      <c r="P23" s="88"/>
      <c r="Q23" s="88"/>
      <c r="R23" s="88"/>
      <c r="S23" s="88"/>
      <c r="T23" s="88"/>
      <c r="U23" s="88"/>
      <c r="V23" s="88"/>
    </row>
    <row r="24" spans="1:22" s="4" customFormat="1" ht="16.5" thickBot="1">
      <c r="A24" s="450" t="s">
        <v>382</v>
      </c>
      <c r="B24" s="138">
        <f aca="true" t="shared" si="2" ref="B24:G24">SUM(B21:B23)</f>
        <v>0</v>
      </c>
      <c r="C24" s="138">
        <f t="shared" si="2"/>
        <v>8897126</v>
      </c>
      <c r="D24" s="138">
        <f t="shared" si="2"/>
        <v>0</v>
      </c>
      <c r="E24" s="138">
        <f t="shared" si="2"/>
        <v>0</v>
      </c>
      <c r="F24" s="138">
        <f t="shared" si="2"/>
        <v>0</v>
      </c>
      <c r="G24" s="560">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383</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404</v>
      </c>
      <c r="B27" s="488">
        <f aca="true" t="shared" si="3" ref="B27:D29">B9-(B15-B21)</f>
        <v>-4583044</v>
      </c>
      <c r="C27" s="488">
        <f>C9-(C15-C21)</f>
        <v>6490892</v>
      </c>
      <c r="D27" s="488">
        <f t="shared" si="3"/>
        <v>0</v>
      </c>
      <c r="E27" s="126" t="e">
        <f aca="true" t="shared" si="4" ref="E27:F29">E9-(E15-E21)</f>
        <v>#REF!</v>
      </c>
      <c r="F27" s="488">
        <f t="shared" si="4"/>
        <v>0</v>
      </c>
      <c r="G27" s="559" t="e">
        <f>SUM(B27:F27)</f>
        <v>#REF!</v>
      </c>
      <c r="H27" s="301"/>
      <c r="I27" s="88"/>
      <c r="J27" s="88"/>
      <c r="K27" s="88"/>
      <c r="L27" s="88"/>
      <c r="M27" s="88"/>
      <c r="N27" s="88"/>
      <c r="O27" s="88"/>
      <c r="P27" s="88"/>
      <c r="Q27" s="88"/>
      <c r="R27" s="88"/>
      <c r="S27" s="88"/>
      <c r="T27" s="88"/>
      <c r="U27" s="88"/>
      <c r="V27" s="88"/>
    </row>
    <row r="28" spans="1:22" s="4" customFormat="1" ht="15.75">
      <c r="A28" s="449" t="s">
        <v>16</v>
      </c>
      <c r="B28" s="488">
        <f t="shared" si="3"/>
        <v>-1463323</v>
      </c>
      <c r="C28" s="488">
        <f>C10-(C16-C22)</f>
        <v>2361351</v>
      </c>
      <c r="D28" s="488">
        <f t="shared" si="3"/>
        <v>0</v>
      </c>
      <c r="E28" s="126" t="e">
        <f t="shared" si="4"/>
        <v>#REF!</v>
      </c>
      <c r="F28" s="488" t="e">
        <f t="shared" si="4"/>
        <v>#REF!</v>
      </c>
      <c r="G28" s="559" t="e">
        <f>SUM(B28:F28)</f>
        <v>#REF!</v>
      </c>
      <c r="H28" s="301"/>
      <c r="I28" s="88"/>
      <c r="J28" s="88"/>
      <c r="K28" s="88"/>
      <c r="L28" s="88"/>
      <c r="M28" s="88"/>
      <c r="N28" s="88"/>
      <c r="O28" s="88"/>
      <c r="P28" s="88"/>
      <c r="Q28" s="88"/>
      <c r="R28" s="88"/>
      <c r="S28" s="88"/>
      <c r="T28" s="88"/>
      <c r="U28" s="88"/>
      <c r="V28" s="88"/>
    </row>
    <row r="29" spans="1:22" s="4" customFormat="1" ht="15.75">
      <c r="A29" s="451" t="s">
        <v>405</v>
      </c>
      <c r="B29" s="488">
        <f t="shared" si="3"/>
        <v>-19676</v>
      </c>
      <c r="C29" s="488">
        <f>C11-(C17-C23)</f>
        <v>40805</v>
      </c>
      <c r="D29" s="488">
        <f t="shared" si="3"/>
        <v>0</v>
      </c>
      <c r="E29" s="126" t="e">
        <f t="shared" si="4"/>
        <v>#REF!</v>
      </c>
      <c r="F29" s="488" t="e">
        <f t="shared" si="4"/>
        <v>#REF!</v>
      </c>
      <c r="G29" s="559" t="e">
        <f>SUM(B29:F29)</f>
        <v>#REF!</v>
      </c>
      <c r="H29" s="301"/>
      <c r="I29" s="88"/>
      <c r="J29" s="88"/>
      <c r="K29" s="88"/>
      <c r="L29" s="88"/>
      <c r="M29" s="88"/>
      <c r="N29" s="88"/>
      <c r="O29" s="88"/>
      <c r="P29" s="88"/>
      <c r="Q29" s="88"/>
      <c r="R29" s="88"/>
      <c r="S29" s="88"/>
      <c r="T29" s="88"/>
      <c r="U29" s="88"/>
      <c r="V29" s="88"/>
    </row>
    <row r="30" spans="1:22" s="4" customFormat="1" ht="16.5" thickBot="1">
      <c r="A30" s="450" t="s">
        <v>382</v>
      </c>
      <c r="B30" s="557">
        <f aca="true" t="shared" si="5" ref="B30:G30">SUM(B27:B29)</f>
        <v>-6066043</v>
      </c>
      <c r="C30" s="557">
        <f t="shared" si="5"/>
        <v>8893048</v>
      </c>
      <c r="D30" s="557">
        <f t="shared" si="5"/>
        <v>0</v>
      </c>
      <c r="E30" s="557" t="e">
        <f t="shared" si="5"/>
        <v>#REF!</v>
      </c>
      <c r="F30" s="564" t="e">
        <f t="shared" si="5"/>
        <v>#REF!</v>
      </c>
      <c r="G30" s="558"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606" t="e">
        <f>+G30+H30</f>
        <v>#REF!</v>
      </c>
    </row>
    <row r="32" spans="1:8" ht="15.75">
      <c r="A32" s="772"/>
      <c r="B32" s="773"/>
      <c r="C32" s="773"/>
      <c r="D32" s="773"/>
      <c r="E32" s="773"/>
      <c r="F32" s="773"/>
      <c r="G32" s="773"/>
      <c r="H32" s="773"/>
    </row>
    <row r="33" spans="1:8" s="775" customFormat="1" ht="15" customHeight="1">
      <c r="A33" s="999" t="s">
        <v>434</v>
      </c>
      <c r="B33" s="999"/>
      <c r="C33" s="999"/>
      <c r="D33" s="999"/>
      <c r="E33" s="999"/>
      <c r="F33" s="999"/>
      <c r="G33" s="999"/>
      <c r="H33" s="999"/>
    </row>
    <row r="34" spans="1:8" s="775" customFormat="1" ht="12.75">
      <c r="A34" s="999"/>
      <c r="B34" s="999"/>
      <c r="C34" s="999"/>
      <c r="D34" s="999"/>
      <c r="E34" s="999"/>
      <c r="F34" s="999"/>
      <c r="G34" s="999"/>
      <c r="H34" s="999"/>
    </row>
    <row r="35" spans="1:8" s="775" customFormat="1" ht="12.75">
      <c r="A35" s="999"/>
      <c r="B35" s="999"/>
      <c r="C35" s="999"/>
      <c r="D35" s="999"/>
      <c r="E35" s="999"/>
      <c r="F35" s="999"/>
      <c r="G35" s="999"/>
      <c r="H35" s="999"/>
    </row>
    <row r="36" spans="1:8" s="775" customFormat="1" ht="12.75">
      <c r="A36" s="774"/>
      <c r="B36" s="774"/>
      <c r="C36" s="774"/>
      <c r="D36" s="774"/>
      <c r="E36" s="774"/>
      <c r="F36" s="774"/>
      <c r="G36" s="774"/>
      <c r="H36" s="774"/>
    </row>
    <row r="37" spans="2:4" s="775" customFormat="1" ht="12" customHeight="1">
      <c r="B37" s="776"/>
      <c r="C37" s="1000" t="s">
        <v>435</v>
      </c>
      <c r="D37" s="1000" t="s">
        <v>436</v>
      </c>
    </row>
    <row r="38" spans="2:4" s="775" customFormat="1" ht="12" customHeight="1">
      <c r="B38" s="777" t="s">
        <v>320</v>
      </c>
      <c r="C38" s="1000"/>
      <c r="D38" s="1000"/>
    </row>
    <row r="39" spans="1:7" s="775" customFormat="1" ht="12" customHeight="1">
      <c r="A39" s="778" t="s">
        <v>437</v>
      </c>
      <c r="B39" s="781">
        <v>478783</v>
      </c>
      <c r="C39" s="781">
        <v>1343200</v>
      </c>
      <c r="D39" s="781">
        <f>B39+C39</f>
        <v>1821983</v>
      </c>
      <c r="E39" s="779"/>
      <c r="F39" s="779"/>
      <c r="G39" s="779"/>
    </row>
    <row r="40" spans="1:7" s="775" customFormat="1" ht="12" customHeight="1">
      <c r="A40" s="778" t="s">
        <v>35</v>
      </c>
      <c r="B40" s="782">
        <v>487924</v>
      </c>
      <c r="C40" s="782">
        <v>1418672</v>
      </c>
      <c r="D40" s="782">
        <f>B40+C40</f>
        <v>1906596</v>
      </c>
      <c r="E40" s="779"/>
      <c r="F40" s="779"/>
      <c r="G40" s="779"/>
    </row>
    <row r="41" spans="1:7" s="775" customFormat="1" ht="12" customHeight="1">
      <c r="A41" s="778" t="s">
        <v>207</v>
      </c>
      <c r="B41" s="782">
        <v>509815</v>
      </c>
      <c r="C41" s="782">
        <v>1518349</v>
      </c>
      <c r="D41" s="782">
        <f>B41+C41</f>
        <v>2028164</v>
      </c>
      <c r="E41" s="779"/>
      <c r="F41" s="779"/>
      <c r="G41" s="779"/>
    </row>
    <row r="42" spans="1:7" s="775" customFormat="1" ht="12" customHeight="1">
      <c r="A42" s="778" t="s">
        <v>5</v>
      </c>
      <c r="B42" s="782">
        <v>508338</v>
      </c>
      <c r="C42" s="782">
        <v>1585267</v>
      </c>
      <c r="D42" s="782">
        <f>B42+C42</f>
        <v>2093605</v>
      </c>
      <c r="E42" s="779"/>
      <c r="F42" s="779"/>
      <c r="G42" s="779"/>
    </row>
    <row r="43" spans="1:7" s="775" customFormat="1" ht="12" customHeight="1" thickBot="1">
      <c r="A43" s="778" t="s">
        <v>61</v>
      </c>
      <c r="B43" s="783">
        <f>SUM(B39:B42)</f>
        <v>1984860</v>
      </c>
      <c r="C43" s="783">
        <f>SUM(C39:C42)</f>
        <v>5865488</v>
      </c>
      <c r="D43" s="783">
        <f>SUM(D39:D42)</f>
        <v>7850348</v>
      </c>
      <c r="E43" s="779"/>
      <c r="F43" s="779"/>
      <c r="G43" s="779"/>
    </row>
    <row r="44" spans="1:7" s="775" customFormat="1" ht="12" customHeight="1" thickTop="1">
      <c r="A44" s="778"/>
      <c r="B44" s="780"/>
      <c r="C44" s="780"/>
      <c r="D44" s="780"/>
      <c r="E44" s="779"/>
      <c r="F44" s="779"/>
      <c r="G44" s="779"/>
    </row>
    <row r="45" spans="1:8" s="775" customFormat="1" ht="12.75">
      <c r="A45" s="999" t="s">
        <v>438</v>
      </c>
      <c r="B45" s="999"/>
      <c r="C45" s="999"/>
      <c r="D45" s="999"/>
      <c r="E45" s="999"/>
      <c r="F45" s="999"/>
      <c r="G45" s="999"/>
      <c r="H45" s="999"/>
    </row>
    <row r="46" spans="1:8" s="775" customFormat="1" ht="12.75">
      <c r="A46" s="999"/>
      <c r="B46" s="999"/>
      <c r="C46" s="999"/>
      <c r="D46" s="999"/>
      <c r="E46" s="999"/>
      <c r="F46" s="999"/>
      <c r="G46" s="999"/>
      <c r="H46" s="999"/>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826" customWidth="1"/>
    <col min="5" max="5" width="15.7109375" style="342" customWidth="1"/>
    <col min="6" max="16384" width="15.7109375" style="21" customWidth="1"/>
  </cols>
  <sheetData>
    <row r="1" spans="1:5" s="263" customFormat="1" ht="30" customHeight="1">
      <c r="A1" s="980" t="s">
        <v>254</v>
      </c>
      <c r="B1" s="981"/>
      <c r="C1" s="981"/>
      <c r="D1" s="982"/>
      <c r="E1" s="788"/>
    </row>
    <row r="2" spans="1:5" s="45" customFormat="1" ht="15" customHeight="1">
      <c r="A2" s="983"/>
      <c r="B2" s="984"/>
      <c r="C2" s="984"/>
      <c r="D2" s="985"/>
      <c r="E2" s="789"/>
    </row>
    <row r="3" spans="1:5" s="45" customFormat="1" ht="15" customHeight="1">
      <c r="A3" s="977" t="s">
        <v>217</v>
      </c>
      <c r="B3" s="978"/>
      <c r="C3" s="978"/>
      <c r="D3" s="979"/>
      <c r="E3" s="789"/>
    </row>
    <row r="4" spans="1:5" s="45" customFormat="1" ht="15" customHeight="1">
      <c r="A4" s="977" t="s">
        <v>316</v>
      </c>
      <c r="B4" s="978"/>
      <c r="C4" s="978"/>
      <c r="D4" s="979"/>
      <c r="E4" s="789"/>
    </row>
    <row r="5" spans="1:5" s="45" customFormat="1" ht="15" customHeight="1">
      <c r="A5" s="977" t="s">
        <v>488</v>
      </c>
      <c r="B5" s="978"/>
      <c r="C5" s="978"/>
      <c r="D5" s="979"/>
      <c r="E5" s="789"/>
    </row>
    <row r="6" spans="1:5" s="45" customFormat="1" ht="15" customHeight="1">
      <c r="A6" s="407"/>
      <c r="B6" s="811"/>
      <c r="C6" s="811"/>
      <c r="D6" s="812"/>
      <c r="E6" s="789"/>
    </row>
    <row r="7" spans="1:5" s="18" customFormat="1" ht="15" customHeight="1">
      <c r="A7" s="408"/>
      <c r="B7" s="811"/>
      <c r="C7" s="811"/>
      <c r="D7" s="812"/>
      <c r="E7" s="127"/>
    </row>
    <row r="8" spans="1:5" s="18" customFormat="1" ht="15" customHeight="1">
      <c r="A8" s="409" t="s">
        <v>317</v>
      </c>
      <c r="B8" s="813" t="s">
        <v>487</v>
      </c>
      <c r="C8" s="814"/>
      <c r="D8" s="815"/>
      <c r="E8" s="127"/>
    </row>
    <row r="9" spans="1:5" s="18" customFormat="1" ht="15" customHeight="1">
      <c r="A9" s="409"/>
      <c r="B9" s="816" t="s">
        <v>18</v>
      </c>
      <c r="C9" s="817"/>
      <c r="D9" s="818"/>
      <c r="E9" s="127"/>
    </row>
    <row r="10" spans="1:5" s="18" customFormat="1" ht="15" customHeight="1">
      <c r="A10" s="410"/>
      <c r="B10" s="819" t="s">
        <v>264</v>
      </c>
      <c r="C10" s="820"/>
      <c r="D10" s="821"/>
      <c r="E10" s="127"/>
    </row>
    <row r="11" spans="1:5" s="18" customFormat="1" ht="15" customHeight="1">
      <c r="A11" s="411" t="s">
        <v>318</v>
      </c>
      <c r="B11" s="521"/>
      <c r="C11" s="480">
        <f>'Premiums YTD-8'!G11</f>
        <v>18109359</v>
      </c>
      <c r="D11" s="522"/>
      <c r="E11" s="127"/>
    </row>
    <row r="12" spans="1:5" s="18" customFormat="1" ht="15" customHeight="1">
      <c r="A12" s="411"/>
      <c r="B12" s="521"/>
      <c r="C12" s="488"/>
      <c r="D12" s="522"/>
      <c r="E12" s="127"/>
    </row>
    <row r="13" spans="1:5" s="18" customFormat="1" ht="15" customHeight="1">
      <c r="A13" s="412" t="s">
        <v>319</v>
      </c>
      <c r="B13" s="521">
        <f>+'Premiums YTD-8'!G17</f>
        <v>12039591</v>
      </c>
      <c r="C13" s="122"/>
      <c r="D13" s="522"/>
      <c r="E13" s="127"/>
    </row>
    <row r="14" spans="1:5" s="18" customFormat="1" ht="15" customHeight="1">
      <c r="A14" s="412" t="s">
        <v>338</v>
      </c>
      <c r="B14" s="523">
        <f>'Premiums YTD-8'!G23</f>
        <v>10749487</v>
      </c>
      <c r="C14" s="122"/>
      <c r="D14" s="522"/>
      <c r="E14" s="127"/>
    </row>
    <row r="15" spans="1:5" s="18" customFormat="1" ht="15" customHeight="1">
      <c r="A15" s="412" t="s">
        <v>339</v>
      </c>
      <c r="B15" s="521"/>
      <c r="C15" s="524">
        <f>B14-B13</f>
        <v>-1290104</v>
      </c>
      <c r="D15" s="522"/>
      <c r="E15" s="127"/>
    </row>
    <row r="16" spans="1:5" s="18" customFormat="1" ht="15" customHeight="1">
      <c r="A16" s="411" t="s">
        <v>340</v>
      </c>
      <c r="B16" s="521"/>
      <c r="C16" s="122"/>
      <c r="D16" s="576">
        <f>C11+C15</f>
        <v>16819255</v>
      </c>
      <c r="E16" s="127"/>
    </row>
    <row r="17" spans="1:4" s="18" customFormat="1" ht="15" customHeight="1">
      <c r="A17" s="412" t="s">
        <v>341</v>
      </c>
      <c r="B17" s="521"/>
      <c r="C17" s="122">
        <f>'[13]TRIAL BALANCE @ 10-26-04'!F267</f>
        <v>10157440.26</v>
      </c>
      <c r="D17" s="522"/>
    </row>
    <row r="18" spans="1:4" s="18" customFormat="1" ht="15" customHeight="1">
      <c r="A18" s="412" t="s">
        <v>76</v>
      </c>
      <c r="B18" s="521"/>
      <c r="C18" s="524">
        <f>-'[13]TRIAL BALANCE @ 10-26-04'!F282</f>
        <v>34485.26</v>
      </c>
      <c r="D18" s="522"/>
    </row>
    <row r="19" spans="1:5" s="18" customFormat="1" ht="15" customHeight="1">
      <c r="A19" s="411" t="s">
        <v>343</v>
      </c>
      <c r="B19" s="521"/>
      <c r="C19" s="122">
        <f>C17-C18</f>
        <v>10122955</v>
      </c>
      <c r="D19" s="522"/>
      <c r="E19" s="127"/>
    </row>
    <row r="20" spans="1:5" s="18" customFormat="1" ht="15" customHeight="1">
      <c r="A20" s="412" t="s">
        <v>344</v>
      </c>
      <c r="B20" s="521">
        <f>+'Losses Incurred YTD-10'!G19+'Losses Incurred YTD-10'!G25</f>
        <v>6386509.92</v>
      </c>
      <c r="C20" s="122" t="s">
        <v>264</v>
      </c>
      <c r="D20" s="522"/>
      <c r="E20" s="127"/>
    </row>
    <row r="21" spans="1:5" s="18" customFormat="1" ht="15" customHeight="1">
      <c r="A21" s="412" t="s">
        <v>345</v>
      </c>
      <c r="B21" s="523">
        <f>'Losses Incurred YTD-10'!G32</f>
        <v>7240545.76</v>
      </c>
      <c r="C21" s="122"/>
      <c r="D21" s="522"/>
      <c r="E21" s="127"/>
    </row>
    <row r="22" spans="1:5" s="18" customFormat="1" ht="15" customHeight="1">
      <c r="A22" s="412" t="s">
        <v>346</v>
      </c>
      <c r="B22" s="526"/>
      <c r="C22" s="524">
        <f>B20-B21</f>
        <v>-854035.8399999999</v>
      </c>
      <c r="D22" s="522"/>
      <c r="E22" s="127"/>
    </row>
    <row r="23" spans="1:6" s="18" customFormat="1" ht="15" customHeight="1">
      <c r="A23" s="411" t="s">
        <v>347</v>
      </c>
      <c r="B23" s="521"/>
      <c r="C23" s="122"/>
      <c r="D23" s="522">
        <f>C19+C22</f>
        <v>9268919.16</v>
      </c>
      <c r="E23" s="122"/>
      <c r="F23" s="114"/>
    </row>
    <row r="24" spans="1:5" s="18" customFormat="1" ht="15" customHeight="1">
      <c r="A24" s="412" t="s">
        <v>348</v>
      </c>
      <c r="B24" s="521"/>
      <c r="C24" s="122">
        <f>'[13]TRIAL BALANCE @ 10-26-04'!F358</f>
        <v>835039.3200000001</v>
      </c>
      <c r="D24" s="522"/>
      <c r="E24" s="334"/>
    </row>
    <row r="25" spans="1:5" s="18" customFormat="1" ht="15" customHeight="1">
      <c r="A25" s="412" t="s">
        <v>349</v>
      </c>
      <c r="B25" s="521"/>
      <c r="C25" s="524">
        <f>'[13]TRIAL BALANCE @ 10-26-04'!F375+1</f>
        <v>411005.2</v>
      </c>
      <c r="D25" s="522"/>
      <c r="E25" s="334"/>
    </row>
    <row r="26" spans="1:5" s="18" customFormat="1" ht="15" customHeight="1">
      <c r="A26" s="411" t="s">
        <v>350</v>
      </c>
      <c r="B26" s="521"/>
      <c r="C26" s="122">
        <f>C24+C25-1</f>
        <v>1246043.52</v>
      </c>
      <c r="D26" s="522"/>
      <c r="E26" s="122"/>
    </row>
    <row r="27" spans="1:5" s="18" customFormat="1" ht="15" customHeight="1">
      <c r="A27" s="412" t="s">
        <v>351</v>
      </c>
      <c r="B27" s="521">
        <f>'Loss Expenses YTD-12'!G18</f>
        <v>680095.5100000001</v>
      </c>
      <c r="C27" s="122"/>
      <c r="D27" s="522"/>
      <c r="E27" s="334"/>
    </row>
    <row r="28" spans="1:5" s="18" customFormat="1" ht="15" customHeight="1">
      <c r="A28" s="412" t="s">
        <v>352</v>
      </c>
      <c r="B28" s="523">
        <f>'Loss Expenses YTD-12'!G24</f>
        <v>717188.42</v>
      </c>
      <c r="C28" s="122"/>
      <c r="D28" s="522"/>
      <c r="E28" s="122"/>
    </row>
    <row r="29" spans="1:7" s="18" customFormat="1" ht="15" customHeight="1">
      <c r="A29" s="412" t="s">
        <v>353</v>
      </c>
      <c r="B29" s="521"/>
      <c r="C29" s="524">
        <f>B27-B28+1</f>
        <v>-37091.909999999916</v>
      </c>
      <c r="D29" s="522"/>
      <c r="E29" s="334"/>
      <c r="G29" s="114"/>
    </row>
    <row r="30" spans="1:6" s="18" customFormat="1" ht="15" customHeight="1">
      <c r="A30" s="411" t="s">
        <v>354</v>
      </c>
      <c r="B30" s="521"/>
      <c r="C30" s="122"/>
      <c r="D30" s="525">
        <f>C26+C29</f>
        <v>1208951.61</v>
      </c>
      <c r="E30" s="122"/>
      <c r="F30" s="114"/>
    </row>
    <row r="31" spans="1:6" s="18" customFormat="1" ht="15" customHeight="1">
      <c r="A31" s="411" t="s">
        <v>355</v>
      </c>
      <c r="B31" s="521"/>
      <c r="C31" s="122"/>
      <c r="D31" s="787">
        <f>D23+D30</f>
        <v>10477870.77</v>
      </c>
      <c r="E31" s="122"/>
      <c r="F31" s="114"/>
    </row>
    <row r="32" spans="1:6" s="18" customFormat="1" ht="15" customHeight="1">
      <c r="A32" s="412" t="s">
        <v>356</v>
      </c>
      <c r="B32" s="521"/>
      <c r="C32" s="122">
        <f>'[14]Earned Incurred YTD-6'!$C$32+'Earned Incurred QTD-5'!C32</f>
        <v>86322.5</v>
      </c>
      <c r="D32" s="522"/>
      <c r="E32" s="334"/>
      <c r="F32" s="114"/>
    </row>
    <row r="33" spans="1:7" s="18" customFormat="1" ht="15" customHeight="1">
      <c r="A33" s="412" t="s">
        <v>357</v>
      </c>
      <c r="B33" s="521">
        <f>-'[13]TRIAL BALANCE @ 10-26-04'!F128</f>
        <v>41432.32</v>
      </c>
      <c r="C33" s="122"/>
      <c r="D33" s="522"/>
      <c r="E33" s="127"/>
      <c r="G33" s="114"/>
    </row>
    <row r="34" spans="1:7" s="18" customFormat="1" ht="15" customHeight="1">
      <c r="A34" s="412" t="s">
        <v>358</v>
      </c>
      <c r="B34" s="523">
        <f>'[14]Earned Incurred YTD-6'!$B$34</f>
        <v>61134.57</v>
      </c>
      <c r="C34" s="122" t="s">
        <v>264</v>
      </c>
      <c r="D34" s="522"/>
      <c r="E34" s="127"/>
      <c r="G34" s="114"/>
    </row>
    <row r="35" spans="1:5" s="18" customFormat="1" ht="15" customHeight="1">
      <c r="A35" s="412" t="s">
        <v>59</v>
      </c>
      <c r="B35" s="521"/>
      <c r="C35" s="524">
        <f>B33-B34-1</f>
        <v>-19703.25</v>
      </c>
      <c r="D35" s="522"/>
      <c r="E35" s="127"/>
    </row>
    <row r="36" spans="1:6" s="18" customFormat="1" ht="15" customHeight="1">
      <c r="A36" s="411" t="s">
        <v>60</v>
      </c>
      <c r="B36" s="521"/>
      <c r="C36" s="122" t="s">
        <v>264</v>
      </c>
      <c r="D36" s="522">
        <f>C32+C35+1</f>
        <v>66620.25</v>
      </c>
      <c r="E36" s="127"/>
      <c r="F36" s="114"/>
    </row>
    <row r="37" spans="1:5" s="18" customFormat="1" ht="15" customHeight="1">
      <c r="A37" s="412" t="s">
        <v>462</v>
      </c>
      <c r="B37" s="521"/>
      <c r="C37" s="122">
        <f>'[13]TRIAL BALANCE @ 10-26-04'!F494</f>
        <v>1632088.8</v>
      </c>
      <c r="D37" s="638"/>
      <c r="E37" s="127"/>
    </row>
    <row r="38" spans="1:5" s="18" customFormat="1" ht="15" customHeight="1">
      <c r="A38" s="412" t="s">
        <v>440</v>
      </c>
      <c r="B38" s="521"/>
      <c r="C38" s="122">
        <f>'[13]TRIAL BALANCE @ 10-26-04'!F497+'[13]TRIAL BALANCE @ 10-26-04'!F499+'[13]TRIAL BALANCE @ 10-26-04'!F507</f>
        <v>296518.51</v>
      </c>
      <c r="D38" s="522"/>
      <c r="E38" s="790"/>
    </row>
    <row r="39" spans="1:6" s="18" customFormat="1" ht="15" customHeight="1">
      <c r="A39" s="412" t="s">
        <v>146</v>
      </c>
      <c r="B39" s="521"/>
      <c r="C39" s="524">
        <f>'[13]TRIAL BALANCE @ 10-26-04'!F804-C43-1</f>
        <v>2949941.1100000003</v>
      </c>
      <c r="D39" s="522"/>
      <c r="E39" s="790"/>
      <c r="F39" s="127"/>
    </row>
    <row r="40" spans="1:6" s="18" customFormat="1" ht="15" customHeight="1">
      <c r="A40" s="411" t="s">
        <v>147</v>
      </c>
      <c r="B40" s="521"/>
      <c r="C40" s="122">
        <f>SUM(C37:C39)+1</f>
        <v>4878549.42</v>
      </c>
      <c r="D40" s="522"/>
      <c r="E40" s="790"/>
      <c r="F40" s="127"/>
    </row>
    <row r="41" spans="1:5" s="18" customFormat="1" ht="15" customHeight="1">
      <c r="A41" s="412" t="s">
        <v>357</v>
      </c>
      <c r="B41" s="521">
        <f>-'[13]TRIAL BALANCE @ 10-26-04'!F142</f>
        <v>321210.28</v>
      </c>
      <c r="C41" s="122"/>
      <c r="D41" s="522"/>
      <c r="E41" s="790"/>
    </row>
    <row r="42" spans="1:5" s="18" customFormat="1" ht="15" customHeight="1">
      <c r="A42" s="412" t="s">
        <v>358</v>
      </c>
      <c r="B42" s="523">
        <f>'[14]Earned Incurred YTD-6'!$B$42</f>
        <v>293447.56</v>
      </c>
      <c r="C42" s="122" t="s">
        <v>264</v>
      </c>
      <c r="D42" s="522"/>
      <c r="E42" s="127"/>
    </row>
    <row r="43" spans="1:5" s="18" customFormat="1" ht="15" customHeight="1">
      <c r="A43" s="412" t="s">
        <v>148</v>
      </c>
      <c r="B43" s="521"/>
      <c r="C43" s="524">
        <f>+B41-B42-1</f>
        <v>27761.72000000003</v>
      </c>
      <c r="D43" s="522"/>
      <c r="E43" s="127"/>
    </row>
    <row r="44" spans="1:6" s="18" customFormat="1" ht="15" customHeight="1">
      <c r="A44" s="411" t="s">
        <v>218</v>
      </c>
      <c r="B44" s="521"/>
      <c r="C44" s="122"/>
      <c r="D44" s="522">
        <f>SUM(C40:C43)</f>
        <v>4906311.14</v>
      </c>
      <c r="E44" s="127"/>
      <c r="F44" s="127"/>
    </row>
    <row r="45" spans="1:6" s="18" customFormat="1" ht="15" customHeight="1">
      <c r="A45" s="411" t="s">
        <v>149</v>
      </c>
      <c r="B45" s="521"/>
      <c r="C45" s="122"/>
      <c r="D45" s="529">
        <f>SUM(D36:D44)</f>
        <v>4972931.39</v>
      </c>
      <c r="E45" s="127"/>
      <c r="F45" s="120"/>
    </row>
    <row r="46" spans="1:6" s="18" customFormat="1" ht="15" customHeight="1">
      <c r="A46" s="411" t="s">
        <v>150</v>
      </c>
      <c r="B46" s="521"/>
      <c r="C46" s="122"/>
      <c r="D46" s="940">
        <f>+D31+D45</f>
        <v>15450802.16</v>
      </c>
      <c r="E46" s="127"/>
      <c r="F46" s="120"/>
    </row>
    <row r="47" spans="1:6" s="18" customFormat="1" ht="15" customHeight="1">
      <c r="A47" s="411" t="s">
        <v>468</v>
      </c>
      <c r="B47" s="521"/>
      <c r="C47" s="122"/>
      <c r="D47" s="787">
        <f>D16-D31-D45</f>
        <v>1368452.8400000008</v>
      </c>
      <c r="E47" s="48"/>
      <c r="F47" s="127"/>
    </row>
    <row r="48" spans="1:6" s="18" customFormat="1" ht="15" customHeight="1">
      <c r="A48" s="412" t="s">
        <v>199</v>
      </c>
      <c r="B48" s="521"/>
      <c r="C48" s="122">
        <f>-'[13]TRIAL BALANCE @ 10-26-04'!F249-C51+1</f>
        <v>83862.27999999997</v>
      </c>
      <c r="D48" s="530"/>
      <c r="E48" s="114"/>
      <c r="F48" s="114"/>
    </row>
    <row r="49" spans="1:5" s="18" customFormat="1" ht="15" customHeight="1">
      <c r="A49" s="412" t="s">
        <v>374</v>
      </c>
      <c r="B49" s="521">
        <f>'[13]TRIAL BALANCE @ 10-26-04'!F23</f>
        <v>38063.41</v>
      </c>
      <c r="C49" s="122"/>
      <c r="D49" s="530"/>
      <c r="E49" s="127"/>
    </row>
    <row r="50" spans="1:5" s="18" customFormat="1" ht="15" customHeight="1">
      <c r="A50" s="412" t="s">
        <v>375</v>
      </c>
      <c r="B50" s="523">
        <f>'[14]Earned Incurred YTD-6'!$B$50</f>
        <v>8748.01</v>
      </c>
      <c r="C50" s="122" t="s">
        <v>264</v>
      </c>
      <c r="D50" s="530"/>
      <c r="E50" s="127"/>
    </row>
    <row r="51" spans="1:5" s="18" customFormat="1" ht="15" customHeight="1">
      <c r="A51" s="412" t="s">
        <v>376</v>
      </c>
      <c r="B51" s="521"/>
      <c r="C51" s="524">
        <f>B49-B50</f>
        <v>29315.4</v>
      </c>
      <c r="D51" s="530"/>
      <c r="E51" s="127"/>
    </row>
    <row r="52" spans="1:5" s="18" customFormat="1" ht="15" customHeight="1">
      <c r="A52" s="411" t="s">
        <v>200</v>
      </c>
      <c r="B52" s="521"/>
      <c r="C52" s="122"/>
      <c r="D52" s="531">
        <f>C48+C51-1</f>
        <v>113176.67999999996</v>
      </c>
      <c r="E52" s="127"/>
    </row>
    <row r="53" spans="1:6" s="18" customFormat="1" ht="15" customHeight="1">
      <c r="A53" s="413"/>
      <c r="B53" s="521"/>
      <c r="C53" s="122"/>
      <c r="D53" s="492"/>
      <c r="E53" s="127"/>
      <c r="F53" s="114"/>
    </row>
    <row r="54" spans="1:6" s="18" customFormat="1" ht="15" customHeight="1">
      <c r="A54" s="414" t="s">
        <v>469</v>
      </c>
      <c r="B54" s="523"/>
      <c r="C54" s="524"/>
      <c r="D54" s="941">
        <f>D47+D52</f>
        <v>1481629.5200000007</v>
      </c>
      <c r="E54" s="791"/>
      <c r="F54" s="340"/>
    </row>
    <row r="55" spans="1:4" s="18" customFormat="1" ht="15" customHeight="1">
      <c r="A55" s="415"/>
      <c r="B55" s="823"/>
      <c r="C55" s="823"/>
      <c r="D55" s="825"/>
    </row>
    <row r="56" spans="1:5" s="18" customFormat="1" ht="15" customHeight="1">
      <c r="A56" s="415"/>
      <c r="B56" s="823"/>
      <c r="C56" s="823"/>
      <c r="D56" s="340"/>
      <c r="E56" s="122"/>
    </row>
    <row r="57" spans="1:5" s="18" customFormat="1" ht="15" customHeight="1">
      <c r="A57" s="47"/>
      <c r="B57" s="822"/>
      <c r="C57" s="822"/>
      <c r="D57" s="822"/>
      <c r="E57" s="127"/>
    </row>
    <row r="58" spans="1:5" s="18" customFormat="1" ht="15" customHeight="1">
      <c r="A58" s="47"/>
      <c r="B58" s="822"/>
      <c r="C58" s="822"/>
      <c r="D58" s="822"/>
      <c r="E58" s="127"/>
    </row>
    <row r="59" spans="1:5" s="18" customFormat="1" ht="15" customHeight="1">
      <c r="A59" s="47"/>
      <c r="B59" s="822"/>
      <c r="C59" s="822"/>
      <c r="D59" s="822"/>
      <c r="E59" s="127"/>
    </row>
    <row r="60" spans="1:5" s="18" customFormat="1" ht="15" customHeight="1">
      <c r="A60" s="47"/>
      <c r="B60" s="822"/>
      <c r="C60" s="822"/>
      <c r="D60" s="822"/>
      <c r="E60" s="127"/>
    </row>
    <row r="61" spans="1:5" s="18" customFormat="1" ht="15" customHeight="1">
      <c r="A61" s="47"/>
      <c r="B61" s="822"/>
      <c r="C61" s="822"/>
      <c r="D61" s="822"/>
      <c r="E61" s="127"/>
    </row>
    <row r="62" spans="1:5" s="18" customFormat="1" ht="15" customHeight="1">
      <c r="A62" s="47"/>
      <c r="B62" s="822"/>
      <c r="C62" s="822"/>
      <c r="D62" s="822"/>
      <c r="E62" s="127"/>
    </row>
    <row r="63" spans="1:5" s="18" customFormat="1" ht="15" customHeight="1">
      <c r="A63" s="47"/>
      <c r="B63" s="822"/>
      <c r="C63" s="822"/>
      <c r="D63" s="822"/>
      <c r="E63" s="127"/>
    </row>
    <row r="64" spans="1:5" s="18" customFormat="1" ht="15" customHeight="1">
      <c r="A64" s="47"/>
      <c r="B64" s="824"/>
      <c r="C64" s="822"/>
      <c r="D64" s="822"/>
      <c r="E64" s="127"/>
    </row>
    <row r="65" spans="1:5" s="18" customFormat="1" ht="15" customHeight="1">
      <c r="A65" s="47"/>
      <c r="B65" s="824"/>
      <c r="C65" s="822"/>
      <c r="D65" s="822"/>
      <c r="E65" s="127"/>
    </row>
    <row r="66" spans="1:5" s="18" customFormat="1" ht="15" customHeight="1">
      <c r="A66" s="47"/>
      <c r="B66" s="824"/>
      <c r="C66" s="822"/>
      <c r="D66" s="822"/>
      <c r="E66" s="127"/>
    </row>
    <row r="67" spans="1:5" s="18" customFormat="1" ht="15" customHeight="1">
      <c r="A67" s="47"/>
      <c r="B67" s="824"/>
      <c r="C67" s="886"/>
      <c r="D67" s="822"/>
      <c r="E67" s="127"/>
    </row>
    <row r="68" spans="1:5" s="18" customFormat="1" ht="15" customHeight="1">
      <c r="A68" s="47"/>
      <c r="B68" s="824"/>
      <c r="C68" s="822"/>
      <c r="D68" s="822"/>
      <c r="E68" s="127"/>
    </row>
    <row r="69" spans="2:5" s="18" customFormat="1" ht="15" customHeight="1">
      <c r="B69" s="824"/>
      <c r="C69" s="822"/>
      <c r="D69" s="822"/>
      <c r="E69" s="127"/>
    </row>
    <row r="70" spans="1:5" s="18" customFormat="1" ht="15" customHeight="1">
      <c r="A70" s="47"/>
      <c r="B70" s="824"/>
      <c r="C70" s="822"/>
      <c r="D70" s="822"/>
      <c r="E70" s="127"/>
    </row>
    <row r="71" spans="1:5" s="18" customFormat="1" ht="15" customHeight="1">
      <c r="A71" s="47"/>
      <c r="B71" s="824"/>
      <c r="C71" s="822"/>
      <c r="D71" s="822"/>
      <c r="E71" s="127"/>
    </row>
    <row r="72" spans="1:5" s="18" customFormat="1" ht="15" customHeight="1">
      <c r="A72" s="47"/>
      <c r="B72" s="825"/>
      <c r="C72" s="822"/>
      <c r="D72" s="822"/>
      <c r="E72" s="127"/>
    </row>
    <row r="73" spans="1:5" s="18" customFormat="1" ht="15" customHeight="1">
      <c r="A73" s="47"/>
      <c r="B73" s="822"/>
      <c r="C73" s="886"/>
      <c r="D73" s="822"/>
      <c r="E73" s="127"/>
    </row>
    <row r="74" spans="1:5" s="18" customFormat="1" ht="15" customHeight="1">
      <c r="A74" s="47"/>
      <c r="B74" s="822"/>
      <c r="C74" s="822"/>
      <c r="D74" s="822"/>
      <c r="E74" s="127"/>
    </row>
    <row r="75" spans="1:5" s="18" customFormat="1" ht="15" customHeight="1">
      <c r="A75" s="47"/>
      <c r="B75" s="822"/>
      <c r="C75" s="822"/>
      <c r="D75" s="822"/>
      <c r="E75" s="127"/>
    </row>
    <row r="76" spans="1:5" s="18" customFormat="1" ht="15" customHeight="1">
      <c r="A76" s="47"/>
      <c r="B76" s="822"/>
      <c r="C76" s="822"/>
      <c r="D76" s="822"/>
      <c r="E76" s="127"/>
    </row>
    <row r="77" spans="1:5" s="18" customFormat="1" ht="15" customHeight="1">
      <c r="A77" s="47"/>
      <c r="B77" s="822"/>
      <c r="C77" s="822"/>
      <c r="D77" s="822"/>
      <c r="E77" s="127"/>
    </row>
    <row r="78" spans="1:5" s="18" customFormat="1" ht="15" customHeight="1">
      <c r="A78" s="47"/>
      <c r="B78" s="822"/>
      <c r="C78" s="822"/>
      <c r="D78" s="822"/>
      <c r="E78" s="127"/>
    </row>
    <row r="79" spans="1:5" s="18" customFormat="1" ht="15" customHeight="1">
      <c r="A79" s="47"/>
      <c r="B79" s="822"/>
      <c r="C79" s="822"/>
      <c r="D79" s="822"/>
      <c r="E79" s="127"/>
    </row>
    <row r="80" spans="1:5" s="18" customFormat="1" ht="15" customHeight="1">
      <c r="A80" s="47"/>
      <c r="B80" s="822"/>
      <c r="C80" s="822"/>
      <c r="D80" s="822"/>
      <c r="E80" s="127"/>
    </row>
    <row r="81" spans="1:5" s="18" customFormat="1" ht="15" customHeight="1">
      <c r="A81" s="47"/>
      <c r="B81" s="822"/>
      <c r="C81" s="822"/>
      <c r="D81" s="822"/>
      <c r="E81" s="127"/>
    </row>
    <row r="82" spans="1:5" s="18" customFormat="1" ht="15" customHeight="1">
      <c r="A82" s="47"/>
      <c r="B82" s="822"/>
      <c r="C82" s="822"/>
      <c r="D82" s="822"/>
      <c r="E82" s="127"/>
    </row>
    <row r="83" spans="1:5" s="18" customFormat="1" ht="15" customHeight="1">
      <c r="A83" s="47"/>
      <c r="B83" s="822"/>
      <c r="C83" s="822"/>
      <c r="D83" s="822"/>
      <c r="E83" s="127"/>
    </row>
    <row r="84" spans="1:5" s="18" customFormat="1" ht="15" customHeight="1">
      <c r="A84" s="47"/>
      <c r="B84" s="822"/>
      <c r="C84" s="822"/>
      <c r="D84" s="822"/>
      <c r="E84" s="127"/>
    </row>
    <row r="85" spans="1:5" s="18" customFormat="1" ht="15" customHeight="1">
      <c r="A85" s="47"/>
      <c r="B85" s="822"/>
      <c r="C85" s="822"/>
      <c r="D85" s="822"/>
      <c r="E85" s="127"/>
    </row>
    <row r="86" spans="1:5" s="18" customFormat="1" ht="15" customHeight="1">
      <c r="A86" s="47"/>
      <c r="B86" s="822"/>
      <c r="C86" s="822"/>
      <c r="D86" s="822"/>
      <c r="E86" s="127"/>
    </row>
    <row r="87" spans="1:5" s="18" customFormat="1" ht="15" customHeight="1">
      <c r="A87" s="47"/>
      <c r="B87" s="822"/>
      <c r="C87" s="822"/>
      <c r="D87" s="822"/>
      <c r="E87" s="127"/>
    </row>
    <row r="88" spans="1:5" s="18" customFormat="1" ht="15" customHeight="1">
      <c r="A88" s="47"/>
      <c r="B88" s="822"/>
      <c r="C88" s="822"/>
      <c r="D88" s="822"/>
      <c r="E88" s="127"/>
    </row>
    <row r="89" spans="1:5" s="18" customFormat="1" ht="15" customHeight="1">
      <c r="A89" s="47"/>
      <c r="B89" s="822"/>
      <c r="C89" s="825"/>
      <c r="D89" s="825"/>
      <c r="E89" s="127"/>
    </row>
    <row r="90" spans="1:5" s="18" customFormat="1" ht="15" customHeight="1">
      <c r="A90" s="47"/>
      <c r="B90" s="822"/>
      <c r="C90" s="825"/>
      <c r="D90" s="825"/>
      <c r="E90" s="127"/>
    </row>
    <row r="91" spans="1:5" s="18" customFormat="1" ht="15" customHeight="1">
      <c r="A91" s="47"/>
      <c r="B91" s="822"/>
      <c r="C91" s="825"/>
      <c r="D91" s="825"/>
      <c r="E91" s="127"/>
    </row>
    <row r="92" spans="1:5" s="18" customFormat="1" ht="15" customHeight="1">
      <c r="A92" s="47"/>
      <c r="B92" s="825"/>
      <c r="C92" s="825"/>
      <c r="D92" s="825"/>
      <c r="E92" s="127"/>
    </row>
    <row r="93" spans="1:5" s="18" customFormat="1" ht="15" customHeight="1">
      <c r="A93" s="47"/>
      <c r="B93" s="825"/>
      <c r="C93" s="825"/>
      <c r="D93" s="825"/>
      <c r="E93" s="127"/>
    </row>
    <row r="94" spans="1:5" s="18" customFormat="1" ht="15" customHeight="1">
      <c r="A94" s="47"/>
      <c r="B94" s="825"/>
      <c r="C94" s="825"/>
      <c r="D94" s="825"/>
      <c r="E94" s="127"/>
    </row>
    <row r="95" spans="1:5" s="18" customFormat="1" ht="15" customHeight="1">
      <c r="A95" s="47"/>
      <c r="B95" s="825"/>
      <c r="C95" s="825"/>
      <c r="D95" s="825"/>
      <c r="E95" s="127"/>
    </row>
    <row r="96" spans="1:5" s="18" customFormat="1" ht="15" customHeight="1">
      <c r="A96" s="47"/>
      <c r="B96" s="825"/>
      <c r="C96" s="825"/>
      <c r="D96" s="825"/>
      <c r="E96" s="127"/>
    </row>
    <row r="97" spans="1:5" s="18" customFormat="1" ht="15" customHeight="1">
      <c r="A97" s="47"/>
      <c r="B97" s="825"/>
      <c r="C97" s="825"/>
      <c r="D97" s="825"/>
      <c r="E97" s="127"/>
    </row>
    <row r="98" spans="1:5" s="18" customFormat="1" ht="15" customHeight="1">
      <c r="A98" s="47"/>
      <c r="B98" s="825"/>
      <c r="C98" s="825"/>
      <c r="D98" s="825"/>
      <c r="E98" s="127"/>
    </row>
    <row r="99" spans="1:5" s="18" customFormat="1" ht="15" customHeight="1">
      <c r="A99" s="47"/>
      <c r="B99" s="825"/>
      <c r="C99" s="825"/>
      <c r="D99" s="825"/>
      <c r="E99" s="127"/>
    </row>
    <row r="100" spans="1:5" s="18" customFormat="1" ht="15" customHeight="1">
      <c r="A100" s="47"/>
      <c r="B100" s="825"/>
      <c r="C100" s="825"/>
      <c r="D100" s="825"/>
      <c r="E100" s="127"/>
    </row>
    <row r="101" spans="1:5" s="18" customFormat="1" ht="15" customHeight="1">
      <c r="A101" s="47"/>
      <c r="B101" s="825"/>
      <c r="C101" s="825"/>
      <c r="D101" s="825"/>
      <c r="E101" s="127"/>
    </row>
    <row r="102" spans="1:5" s="18" customFormat="1" ht="15" customHeight="1">
      <c r="A102" s="47"/>
      <c r="B102" s="825"/>
      <c r="C102" s="825"/>
      <c r="D102" s="825"/>
      <c r="E102" s="127"/>
    </row>
    <row r="103" spans="1:5" s="18" customFormat="1" ht="15" customHeight="1">
      <c r="A103" s="47"/>
      <c r="B103" s="825"/>
      <c r="C103" s="825"/>
      <c r="D103" s="825"/>
      <c r="E103" s="127"/>
    </row>
    <row r="104" spans="1:5" s="18" customFormat="1" ht="15" customHeight="1">
      <c r="A104" s="47"/>
      <c r="B104" s="825"/>
      <c r="C104" s="825"/>
      <c r="D104" s="825"/>
      <c r="E104" s="127"/>
    </row>
    <row r="105" spans="1:5" s="18" customFormat="1" ht="15" customHeight="1">
      <c r="A105" s="47"/>
      <c r="B105" s="825"/>
      <c r="C105" s="825"/>
      <c r="D105" s="825"/>
      <c r="E105" s="127"/>
    </row>
    <row r="106" spans="1:5" s="18" customFormat="1" ht="15" customHeight="1">
      <c r="A106" s="47"/>
      <c r="B106" s="825"/>
      <c r="C106" s="825"/>
      <c r="D106" s="825"/>
      <c r="E106" s="127"/>
    </row>
    <row r="107" spans="1:5" s="18" customFormat="1" ht="15" customHeight="1">
      <c r="A107" s="47"/>
      <c r="B107" s="825"/>
      <c r="C107" s="825"/>
      <c r="D107" s="825"/>
      <c r="E107" s="127"/>
    </row>
    <row r="108" spans="1:5" s="18" customFormat="1" ht="15" customHeight="1">
      <c r="A108" s="47"/>
      <c r="B108" s="825"/>
      <c r="C108" s="825"/>
      <c r="D108" s="825"/>
      <c r="E108" s="127"/>
    </row>
    <row r="109" spans="1:5" s="18" customFormat="1" ht="15" customHeight="1">
      <c r="A109" s="47"/>
      <c r="B109" s="825"/>
      <c r="C109" s="825"/>
      <c r="D109" s="825"/>
      <c r="E109" s="127"/>
    </row>
    <row r="110" spans="1:5" s="18" customFormat="1" ht="15" customHeight="1">
      <c r="A110" s="47"/>
      <c r="B110" s="825"/>
      <c r="C110" s="825"/>
      <c r="D110" s="825"/>
      <c r="E110" s="127"/>
    </row>
    <row r="111" spans="1:5" s="18" customFormat="1" ht="15" customHeight="1">
      <c r="A111" s="47"/>
      <c r="B111" s="825"/>
      <c r="C111" s="825"/>
      <c r="D111" s="825"/>
      <c r="E111" s="127"/>
    </row>
    <row r="112" spans="1:5" s="18" customFormat="1" ht="15" customHeight="1">
      <c r="A112" s="47"/>
      <c r="B112" s="825"/>
      <c r="C112" s="825"/>
      <c r="D112" s="825"/>
      <c r="E112" s="127"/>
    </row>
    <row r="113" spans="1:5" s="18" customFormat="1" ht="15" customHeight="1">
      <c r="A113" s="47"/>
      <c r="B113" s="825"/>
      <c r="C113" s="825"/>
      <c r="D113" s="825"/>
      <c r="E113" s="127"/>
    </row>
    <row r="114" spans="1:5" s="18" customFormat="1" ht="15" customHeight="1">
      <c r="A114" s="47"/>
      <c r="B114" s="825"/>
      <c r="C114" s="825"/>
      <c r="D114" s="825"/>
      <c r="E114" s="127"/>
    </row>
    <row r="115" spans="1:5" s="18" customFormat="1" ht="15" customHeight="1">
      <c r="A115" s="47"/>
      <c r="B115" s="825"/>
      <c r="C115" s="825"/>
      <c r="D115" s="825"/>
      <c r="E115" s="127"/>
    </row>
    <row r="116" spans="1:5" s="18" customFormat="1" ht="15" customHeight="1">
      <c r="A116" s="47"/>
      <c r="B116" s="825"/>
      <c r="C116" s="825"/>
      <c r="D116" s="825"/>
      <c r="E116" s="127"/>
    </row>
    <row r="117" spans="1:5" s="18" customFormat="1" ht="15" customHeight="1">
      <c r="A117" s="47"/>
      <c r="B117" s="825"/>
      <c r="C117" s="825"/>
      <c r="D117" s="825"/>
      <c r="E117" s="127"/>
    </row>
    <row r="118" spans="1:5" s="18" customFormat="1" ht="15" customHeight="1">
      <c r="A118" s="47"/>
      <c r="B118" s="825"/>
      <c r="C118" s="825"/>
      <c r="D118" s="825"/>
      <c r="E118" s="127"/>
    </row>
    <row r="119" spans="1:5" s="18" customFormat="1" ht="15" customHeight="1">
      <c r="A119" s="47"/>
      <c r="B119" s="825"/>
      <c r="C119" s="825"/>
      <c r="D119" s="825"/>
      <c r="E119" s="127"/>
    </row>
    <row r="120" spans="1:5" s="18" customFormat="1" ht="15" customHeight="1">
      <c r="A120" s="47"/>
      <c r="B120" s="825"/>
      <c r="C120" s="825"/>
      <c r="D120" s="825"/>
      <c r="E120" s="127"/>
    </row>
    <row r="121" spans="1:5" s="18" customFormat="1" ht="15" customHeight="1">
      <c r="A121" s="802"/>
      <c r="B121" s="825"/>
      <c r="C121" s="825"/>
      <c r="D121" s="825"/>
      <c r="E121" s="127"/>
    </row>
    <row r="122" spans="1:5" s="18" customFormat="1" ht="15" customHeight="1">
      <c r="A122" s="802"/>
      <c r="B122" s="825"/>
      <c r="C122" s="825"/>
      <c r="D122" s="825"/>
      <c r="E122" s="127"/>
    </row>
    <row r="123" spans="1:5" s="18" customFormat="1" ht="15" customHeight="1">
      <c r="A123" s="802"/>
      <c r="B123" s="825"/>
      <c r="C123" s="825"/>
      <c r="D123" s="825"/>
      <c r="E123" s="127"/>
    </row>
    <row r="124" spans="1:5" s="18" customFormat="1" ht="15" customHeight="1">
      <c r="A124" s="802"/>
      <c r="B124" s="825"/>
      <c r="C124" s="825"/>
      <c r="D124" s="825"/>
      <c r="E124" s="127"/>
    </row>
    <row r="125" spans="1:5" s="18" customFormat="1" ht="15" customHeight="1">
      <c r="A125" s="802"/>
      <c r="B125" s="825"/>
      <c r="C125" s="825"/>
      <c r="D125" s="825"/>
      <c r="E125" s="127"/>
    </row>
    <row r="126" spans="1:5" s="18" customFormat="1" ht="15" customHeight="1">
      <c r="A126" s="802"/>
      <c r="B126" s="825"/>
      <c r="C126" s="825"/>
      <c r="D126" s="825"/>
      <c r="E126" s="127"/>
    </row>
    <row r="127" spans="1:5" s="18" customFormat="1" ht="15" customHeight="1">
      <c r="A127" s="802"/>
      <c r="B127" s="825"/>
      <c r="C127" s="825"/>
      <c r="D127" s="825"/>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9" sqref="A9"/>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254</v>
      </c>
      <c r="B1" s="425"/>
      <c r="C1" s="425"/>
      <c r="D1" s="425"/>
      <c r="E1" s="425"/>
      <c r="F1" s="425"/>
      <c r="G1" s="426"/>
    </row>
    <row r="2" spans="1:7" s="98" customFormat="1" ht="15" customHeight="1">
      <c r="A2" s="427"/>
      <c r="B2" s="428"/>
      <c r="C2" s="428"/>
      <c r="D2" s="428"/>
      <c r="E2" s="428"/>
      <c r="F2" s="428"/>
      <c r="G2" s="429"/>
    </row>
    <row r="3" spans="1:7" ht="15" customHeight="1">
      <c r="A3" s="887" t="s">
        <v>377</v>
      </c>
      <c r="B3" s="888"/>
      <c r="C3" s="888"/>
      <c r="D3" s="888"/>
      <c r="E3" s="888"/>
      <c r="F3" s="888"/>
      <c r="G3" s="889"/>
    </row>
    <row r="4" spans="1:7" ht="15" customHeight="1">
      <c r="A4" s="887" t="s">
        <v>486</v>
      </c>
      <c r="B4" s="888"/>
      <c r="C4" s="888"/>
      <c r="D4" s="888"/>
      <c r="E4" s="888"/>
      <c r="F4" s="888"/>
      <c r="G4" s="889"/>
    </row>
    <row r="5" spans="1:7" s="14" customFormat="1" ht="15" customHeight="1">
      <c r="A5" s="431"/>
      <c r="B5" s="432"/>
      <c r="C5" s="432"/>
      <c r="D5" s="432"/>
      <c r="E5" s="432"/>
      <c r="F5" s="432"/>
      <c r="G5" s="432"/>
    </row>
    <row r="6" spans="1:7" s="14" customFormat="1" ht="30" customHeight="1">
      <c r="A6" s="433" t="s">
        <v>80</v>
      </c>
      <c r="B6" s="375" t="s">
        <v>194</v>
      </c>
      <c r="C6" s="375" t="s">
        <v>42</v>
      </c>
      <c r="D6" s="375" t="s">
        <v>46</v>
      </c>
      <c r="E6" s="375" t="s">
        <v>143</v>
      </c>
      <c r="F6" s="375" t="s">
        <v>213</v>
      </c>
      <c r="G6" s="588" t="s">
        <v>255</v>
      </c>
    </row>
    <row r="7" spans="1:7" s="14" customFormat="1" ht="15" customHeight="1">
      <c r="A7" s="434" t="s">
        <v>378</v>
      </c>
      <c r="B7" s="374"/>
      <c r="C7" s="374"/>
      <c r="D7" s="374"/>
      <c r="E7" s="374"/>
      <c r="F7" s="374"/>
      <c r="G7" s="374"/>
    </row>
    <row r="8" spans="1:7" s="99" customFormat="1" ht="15" customHeight="1">
      <c r="A8" s="373" t="s">
        <v>447</v>
      </c>
      <c r="B8" s="479">
        <f>-'[13]TRIAL BALANCE @ 10-26-04'!C216</f>
        <v>4825573</v>
      </c>
      <c r="C8" s="479">
        <f>-'[13]TRIAL BALANCE @ 10-26-04'!C212</f>
        <v>-49941</v>
      </c>
      <c r="D8" s="479">
        <f>-'[13]TRIAL BALANCE @ 10-26-04'!C208</f>
        <v>-536</v>
      </c>
      <c r="E8" s="479">
        <f>-'[13]TRIAL BALANCE @ 10-26-04'!C205</f>
        <v>-182</v>
      </c>
      <c r="F8" s="479">
        <f>-'[13]TRIAL BALANCE @ 10-26-04'!$D$199</f>
        <v>-350</v>
      </c>
      <c r="G8" s="479">
        <f>SUM(B8:F8)</f>
        <v>4774564</v>
      </c>
    </row>
    <row r="9" spans="1:7" s="14" customFormat="1" ht="15" customHeight="1">
      <c r="A9" s="373" t="s">
        <v>392</v>
      </c>
      <c r="B9" s="126">
        <f>-'[13]TRIAL BALANCE @ 10-26-04'!C217</f>
        <v>1397236</v>
      </c>
      <c r="C9" s="126">
        <f>-'[13]TRIAL BALANCE @ 10-26-04'!C213</f>
        <v>-14914</v>
      </c>
      <c r="D9" s="126">
        <f>-'[13]TRIAL BALANCE @ 10-26-04'!C209</f>
        <v>-151</v>
      </c>
      <c r="E9" s="126">
        <f>-'[13]TRIAL BALANCE @ 10-26-04'!C206</f>
        <v>-68</v>
      </c>
      <c r="F9" s="126">
        <f>-'[13]TRIAL BALANCE @ 10-26-04'!$D$203</f>
        <v>-127</v>
      </c>
      <c r="G9" s="488">
        <f>SUM(B9:F9)</f>
        <v>1381976</v>
      </c>
    </row>
    <row r="10" spans="1:7" s="14" customFormat="1" ht="15" customHeight="1">
      <c r="A10" s="373" t="s">
        <v>393</v>
      </c>
      <c r="B10" s="126">
        <f>-'[13]TRIAL BALANCE @ 10-26-04'!C218</f>
        <v>17785</v>
      </c>
      <c r="C10" s="126">
        <f>-'[13]TRIAL BALANCE @ 10-26-04'!C214</f>
        <v>-112</v>
      </c>
      <c r="D10" s="126">
        <f>-'[13]TRIAL BALANCE @ 10-26-04'!C210</f>
        <v>-21</v>
      </c>
      <c r="E10" s="126">
        <v>0</v>
      </c>
      <c r="F10" s="126">
        <v>0</v>
      </c>
      <c r="G10" s="488">
        <f>SUM(B10:F10)</f>
        <v>17652</v>
      </c>
    </row>
    <row r="11" spans="1:7" s="24" customFormat="1" ht="15" customHeight="1" thickBot="1">
      <c r="A11" s="435" t="s">
        <v>382</v>
      </c>
      <c r="B11" s="138">
        <f aca="true" t="shared" si="0" ref="B11:G11">SUM(B8:B10)</f>
        <v>6240594</v>
      </c>
      <c r="C11" s="138">
        <f t="shared" si="0"/>
        <v>-64967</v>
      </c>
      <c r="D11" s="138">
        <f t="shared" si="0"/>
        <v>-708</v>
      </c>
      <c r="E11" s="138">
        <f t="shared" si="0"/>
        <v>-250</v>
      </c>
      <c r="F11" s="138">
        <f t="shared" si="0"/>
        <v>-477</v>
      </c>
      <c r="G11" s="785">
        <f t="shared" si="0"/>
        <v>6174192</v>
      </c>
    </row>
    <row r="12" spans="1:7" s="24" customFormat="1" ht="15" customHeight="1" thickTop="1">
      <c r="A12" s="373"/>
      <c r="B12" s="126"/>
      <c r="C12" s="126"/>
      <c r="D12" s="126"/>
      <c r="E12" s="126"/>
      <c r="F12" s="126"/>
      <c r="G12" s="256"/>
    </row>
    <row r="13" spans="1:7" s="24" customFormat="1" ht="30" customHeight="1">
      <c r="A13" s="434" t="s">
        <v>489</v>
      </c>
      <c r="B13" s="126"/>
      <c r="C13" s="126"/>
      <c r="D13" s="126"/>
      <c r="E13" s="126"/>
      <c r="F13" s="126"/>
      <c r="G13" s="126"/>
    </row>
    <row r="14" spans="1:7" s="24" customFormat="1" ht="15" customHeight="1">
      <c r="A14" s="373" t="s">
        <v>447</v>
      </c>
      <c r="B14" s="126">
        <f>'Premiums YTD-8'!B14</f>
        <v>8815076</v>
      </c>
      <c r="C14" s="126">
        <f>'Premiums YTD-8'!C14</f>
        <v>495257</v>
      </c>
      <c r="D14" s="126">
        <f>'Premiums YTD-8'!D14</f>
        <v>0</v>
      </c>
      <c r="E14" s="126">
        <f>'Premiums YTD-8'!E14</f>
        <v>0</v>
      </c>
      <c r="F14" s="126">
        <f>'Premiums YTD-8'!F14</f>
        <v>0</v>
      </c>
      <c r="G14" s="488">
        <f>SUM(B14:F14)</f>
        <v>9310333</v>
      </c>
    </row>
    <row r="15" spans="1:7" s="24" customFormat="1" ht="15" customHeight="1">
      <c r="A15" s="373" t="s">
        <v>16</v>
      </c>
      <c r="B15" s="126">
        <f>'Premiums YTD-8'!B15</f>
        <v>2544509</v>
      </c>
      <c r="C15" s="126">
        <f>'Premiums YTD-8'!C15</f>
        <v>151008</v>
      </c>
      <c r="D15" s="126">
        <f>'Premiums YTD-8'!D15</f>
        <v>0</v>
      </c>
      <c r="E15" s="126">
        <f>'Premiums YTD-8'!E15</f>
        <v>0</v>
      </c>
      <c r="F15" s="126">
        <f>'Premiums YTD-8'!F15</f>
        <v>0</v>
      </c>
      <c r="G15" s="488">
        <f>SUM(B15:F15)</f>
        <v>2695517</v>
      </c>
    </row>
    <row r="16" spans="1:7" s="24" customFormat="1" ht="15" customHeight="1">
      <c r="A16" s="373" t="s">
        <v>405</v>
      </c>
      <c r="B16" s="126">
        <f>'Premiums YTD-8'!B16</f>
        <v>31955</v>
      </c>
      <c r="C16" s="126">
        <f>'Premiums YTD-8'!C16</f>
        <v>1786</v>
      </c>
      <c r="D16" s="126">
        <f>'Premiums YTD-8'!D16</f>
        <v>0</v>
      </c>
      <c r="E16" s="126">
        <f>'Premiums YTD-8'!E16</f>
        <v>0</v>
      </c>
      <c r="F16" s="126">
        <f>'Premiums YTD-8'!F16</f>
        <v>0</v>
      </c>
      <c r="G16" s="784">
        <f>SUM(B16:F16)</f>
        <v>33741</v>
      </c>
    </row>
    <row r="17" spans="1:7" s="24" customFormat="1" ht="15" customHeight="1" thickBot="1">
      <c r="A17" s="435" t="s">
        <v>382</v>
      </c>
      <c r="B17" s="138">
        <f>SUM(B14:B16)</f>
        <v>11391540</v>
      </c>
      <c r="C17" s="138">
        <f>SUM(C14:C16)</f>
        <v>648051</v>
      </c>
      <c r="D17" s="138">
        <f>SUM(D14:D16)</f>
        <v>0</v>
      </c>
      <c r="E17" s="138">
        <f>SUM(E14:E16)</f>
        <v>0</v>
      </c>
      <c r="F17" s="138">
        <v>0</v>
      </c>
      <c r="G17" s="785">
        <f>SUM(G14:G16)</f>
        <v>12039591</v>
      </c>
    </row>
    <row r="18" spans="1:7" s="24" customFormat="1" ht="15" customHeight="1" thickTop="1">
      <c r="A18" s="373"/>
      <c r="B18" s="126"/>
      <c r="C18" s="126"/>
      <c r="D18" s="126"/>
      <c r="E18" s="126"/>
      <c r="F18" s="126"/>
      <c r="G18" s="256"/>
    </row>
    <row r="19" spans="1:7" s="24" customFormat="1" ht="30" customHeight="1">
      <c r="A19" s="434" t="s">
        <v>490</v>
      </c>
      <c r="B19" s="312"/>
      <c r="C19" s="312"/>
      <c r="D19" s="312"/>
      <c r="E19" s="312"/>
      <c r="F19" s="126"/>
      <c r="G19" s="126"/>
    </row>
    <row r="20" spans="1:7" s="24" customFormat="1" ht="15" customHeight="1">
      <c r="A20" s="373" t="s">
        <v>447</v>
      </c>
      <c r="B20" s="126">
        <f>'[14]Premiums YTD-8'!B14</f>
        <v>6951773</v>
      </c>
      <c r="C20" s="126">
        <f>'[14]Premiums YTD-8'!C14</f>
        <v>2068980</v>
      </c>
      <c r="D20" s="126">
        <f>'[14]Premiums YTD-8'!D14</f>
        <v>0</v>
      </c>
      <c r="E20" s="126">
        <f>'[14]Premiums YTD-8'!E14</f>
        <v>0</v>
      </c>
      <c r="F20" s="126">
        <f>'[14]Premiums YTD-8'!F14</f>
        <v>0</v>
      </c>
      <c r="G20" s="488">
        <f>SUM(B20:F20)</f>
        <v>9020753</v>
      </c>
    </row>
    <row r="21" spans="1:7" s="24" customFormat="1" ht="15" customHeight="1">
      <c r="A21" s="373" t="s">
        <v>392</v>
      </c>
      <c r="B21" s="126">
        <f>'[14]Premiums YTD-8'!B15</f>
        <v>1998689</v>
      </c>
      <c r="C21" s="126">
        <f>'[14]Premiums YTD-8'!C15</f>
        <v>648649</v>
      </c>
      <c r="D21" s="126">
        <f>'[14]Premiums YTD-8'!D15</f>
        <v>0</v>
      </c>
      <c r="E21" s="126">
        <f>'[14]Premiums YTD-8'!E15</f>
        <v>0</v>
      </c>
      <c r="F21" s="126">
        <f>'[14]Premiums YTD-8'!F15</f>
        <v>0</v>
      </c>
      <c r="G21" s="488">
        <f>SUM(B21:F21)</f>
        <v>2647338</v>
      </c>
    </row>
    <row r="22" spans="1:7" s="24" customFormat="1" ht="15" customHeight="1">
      <c r="A22" s="373" t="s">
        <v>393</v>
      </c>
      <c r="B22" s="126">
        <f>'[14]Premiums YTD-8'!B16</f>
        <v>24932</v>
      </c>
      <c r="C22" s="126">
        <f>'[14]Premiums YTD-8'!C16</f>
        <v>8154</v>
      </c>
      <c r="D22" s="126">
        <f>'[14]Premiums YTD-8'!D16</f>
        <v>0</v>
      </c>
      <c r="E22" s="126">
        <f>'[14]Premiums YTD-8'!E16</f>
        <v>0</v>
      </c>
      <c r="F22" s="126">
        <f>'[14]Premiums YTD-8'!F16</f>
        <v>0</v>
      </c>
      <c r="G22" s="488">
        <f>SUM(B22:F22)</f>
        <v>33086</v>
      </c>
    </row>
    <row r="23" spans="1:7" s="24" customFormat="1" ht="15" customHeight="1" thickBot="1">
      <c r="A23" s="435" t="s">
        <v>382</v>
      </c>
      <c r="B23" s="138">
        <f aca="true" t="shared" si="1" ref="B23:G23">SUM(B20:B22)</f>
        <v>8975394</v>
      </c>
      <c r="C23" s="138">
        <f t="shared" si="1"/>
        <v>2725783</v>
      </c>
      <c r="D23" s="138">
        <f t="shared" si="1"/>
        <v>0</v>
      </c>
      <c r="E23" s="138">
        <f t="shared" si="1"/>
        <v>0</v>
      </c>
      <c r="F23" s="138">
        <f t="shared" si="1"/>
        <v>0</v>
      </c>
      <c r="G23" s="129">
        <f t="shared" si="1"/>
        <v>11701177</v>
      </c>
    </row>
    <row r="24" spans="1:7" s="804" customFormat="1" ht="15" customHeight="1" thickTop="1">
      <c r="A24" s="436"/>
      <c r="B24" s="126"/>
      <c r="C24" s="126"/>
      <c r="D24" s="126"/>
      <c r="E24" s="890"/>
      <c r="F24" s="126"/>
      <c r="G24" s="803"/>
    </row>
    <row r="25" spans="1:7" s="24" customFormat="1" ht="15" customHeight="1">
      <c r="A25" s="434" t="s">
        <v>383</v>
      </c>
      <c r="B25" s="126"/>
      <c r="C25" s="126"/>
      <c r="D25" s="126"/>
      <c r="E25" s="126"/>
      <c r="F25" s="126"/>
      <c r="G25" s="126"/>
    </row>
    <row r="26" spans="1:7" s="24" customFormat="1" ht="15" customHeight="1">
      <c r="A26" s="373" t="s">
        <v>447</v>
      </c>
      <c r="B26" s="126">
        <f aca="true" t="shared" si="2" ref="B26:F28">B8-(B14-B20)</f>
        <v>2962270</v>
      </c>
      <c r="C26" s="126">
        <f t="shared" si="2"/>
        <v>1523782</v>
      </c>
      <c r="D26" s="126">
        <f t="shared" si="2"/>
        <v>-536</v>
      </c>
      <c r="E26" s="126">
        <f t="shared" si="2"/>
        <v>-182</v>
      </c>
      <c r="F26" s="126">
        <f t="shared" si="2"/>
        <v>-350</v>
      </c>
      <c r="G26" s="488">
        <f>SUM(B26:F26)</f>
        <v>4484984</v>
      </c>
    </row>
    <row r="27" spans="1:7" s="24" customFormat="1" ht="15" customHeight="1">
      <c r="A27" s="373" t="s">
        <v>392</v>
      </c>
      <c r="B27" s="126">
        <f t="shared" si="2"/>
        <v>851416</v>
      </c>
      <c r="C27" s="126">
        <f t="shared" si="2"/>
        <v>482727</v>
      </c>
      <c r="D27" s="126">
        <f t="shared" si="2"/>
        <v>-151</v>
      </c>
      <c r="E27" s="126">
        <f t="shared" si="2"/>
        <v>-68</v>
      </c>
      <c r="F27" s="126">
        <f t="shared" si="2"/>
        <v>-127</v>
      </c>
      <c r="G27" s="488">
        <f>SUM(B27:F27)</f>
        <v>1333797</v>
      </c>
    </row>
    <row r="28" spans="1:7" s="24" customFormat="1" ht="15" customHeight="1">
      <c r="A28" s="437" t="s">
        <v>393</v>
      </c>
      <c r="B28" s="488">
        <f t="shared" si="2"/>
        <v>10762</v>
      </c>
      <c r="C28" s="488">
        <f t="shared" si="2"/>
        <v>6256</v>
      </c>
      <c r="D28" s="488">
        <f t="shared" si="2"/>
        <v>-21</v>
      </c>
      <c r="E28" s="488">
        <f t="shared" si="2"/>
        <v>0</v>
      </c>
      <c r="F28" s="126">
        <f t="shared" si="2"/>
        <v>0</v>
      </c>
      <c r="G28" s="488">
        <f>SUM(B28:F28)</f>
        <v>16997</v>
      </c>
    </row>
    <row r="29" spans="1:7" s="24" customFormat="1" ht="15" customHeight="1" thickBot="1">
      <c r="A29" s="435" t="s">
        <v>382</v>
      </c>
      <c r="B29" s="557">
        <f aca="true" t="shared" si="3" ref="B29:G29">SUM(B26:B28)</f>
        <v>3824448</v>
      </c>
      <c r="C29" s="557">
        <f t="shared" si="3"/>
        <v>2012765</v>
      </c>
      <c r="D29" s="557">
        <f t="shared" si="3"/>
        <v>-708</v>
      </c>
      <c r="E29" s="557">
        <f t="shared" si="3"/>
        <v>-250</v>
      </c>
      <c r="F29" s="557">
        <f t="shared" si="3"/>
        <v>-477</v>
      </c>
      <c r="G29" s="557">
        <f t="shared" si="3"/>
        <v>5835778</v>
      </c>
    </row>
    <row r="30" spans="2:7" s="14" customFormat="1" ht="15" customHeight="1" thickTop="1">
      <c r="B30" s="256"/>
      <c r="C30" s="256"/>
      <c r="D30" s="256"/>
      <c r="E30" s="256"/>
      <c r="F30" s="256"/>
      <c r="G30" s="256"/>
    </row>
    <row r="31" spans="1:7" s="14" customFormat="1" ht="9.75" customHeight="1">
      <c r="A31" s="1001" t="s">
        <v>467</v>
      </c>
      <c r="B31" s="1002"/>
      <c r="C31" s="1002"/>
      <c r="D31" s="1002"/>
      <c r="E31" s="1001"/>
      <c r="F31" s="1001"/>
      <c r="G31" s="1001"/>
    </row>
    <row r="32" spans="1:7" s="14" customFormat="1" ht="9.75" customHeight="1">
      <c r="A32" s="1001"/>
      <c r="B32" s="1002"/>
      <c r="C32" s="1002"/>
      <c r="D32" s="1002"/>
      <c r="E32" s="1001"/>
      <c r="F32" s="1001"/>
      <c r="G32" s="1001"/>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G57"/>
  <sheetViews>
    <sheetView zoomScale="75" zoomScaleNormal="75" workbookViewId="0" topLeftCell="A1">
      <selection activeCell="A18" sqref="A18"/>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254</v>
      </c>
      <c r="B1" s="425"/>
      <c r="C1" s="425"/>
      <c r="D1" s="425"/>
      <c r="E1" s="425"/>
      <c r="F1" s="425"/>
      <c r="G1" s="426"/>
    </row>
    <row r="2" spans="1:7" s="98" customFormat="1" ht="15" customHeight="1">
      <c r="A2" s="427"/>
      <c r="B2" s="428"/>
      <c r="C2" s="428"/>
      <c r="D2" s="428"/>
      <c r="E2" s="428"/>
      <c r="F2" s="428"/>
      <c r="G2" s="429"/>
    </row>
    <row r="3" spans="1:7" ht="15" customHeight="1">
      <c r="A3" s="887" t="s">
        <v>377</v>
      </c>
      <c r="B3" s="888"/>
      <c r="C3" s="888"/>
      <c r="D3" s="888"/>
      <c r="E3" s="888"/>
      <c r="F3" s="888"/>
      <c r="G3" s="889"/>
    </row>
    <row r="4" spans="1:7" ht="15" customHeight="1">
      <c r="A4" s="887" t="s">
        <v>488</v>
      </c>
      <c r="B4" s="888"/>
      <c r="C4" s="888"/>
      <c r="D4" s="888"/>
      <c r="E4" s="888"/>
      <c r="F4" s="888"/>
      <c r="G4" s="889"/>
    </row>
    <row r="5" spans="1:7" s="14" customFormat="1" ht="15" customHeight="1">
      <c r="A5" s="431"/>
      <c r="B5" s="432"/>
      <c r="C5" s="432"/>
      <c r="D5" s="432"/>
      <c r="E5" s="432"/>
      <c r="F5" s="432"/>
      <c r="G5" s="432"/>
    </row>
    <row r="6" spans="1:7" s="14" customFormat="1" ht="30" customHeight="1">
      <c r="A6" s="433" t="s">
        <v>80</v>
      </c>
      <c r="B6" s="375" t="s">
        <v>194</v>
      </c>
      <c r="C6" s="375" t="s">
        <v>42</v>
      </c>
      <c r="D6" s="375" t="s">
        <v>46</v>
      </c>
      <c r="E6" s="375" t="s">
        <v>143</v>
      </c>
      <c r="F6" s="375" t="s">
        <v>213</v>
      </c>
      <c r="G6" s="588" t="s">
        <v>255</v>
      </c>
    </row>
    <row r="7" spans="1:7" s="14" customFormat="1" ht="15" customHeight="1">
      <c r="A7" s="434" t="s">
        <v>378</v>
      </c>
      <c r="B7" s="374"/>
      <c r="C7" s="374"/>
      <c r="D7" s="374"/>
      <c r="E7" s="374"/>
      <c r="F7" s="374"/>
      <c r="G7" s="374"/>
    </row>
    <row r="8" spans="1:7" s="99" customFormat="1" ht="15" customHeight="1">
      <c r="A8" s="373" t="s">
        <v>447</v>
      </c>
      <c r="B8" s="479">
        <f>-'[13]TRIAL BALANCE @ 10-26-04'!E216</f>
        <v>14071755</v>
      </c>
      <c r="C8" s="479">
        <f>-'[13]TRIAL BALANCE @ 10-26-04'!E212</f>
        <v>-39050</v>
      </c>
      <c r="D8" s="479">
        <f>-'[13]TRIAL BALANCE @ 10-26-04'!E208</f>
        <v>-4529</v>
      </c>
      <c r="E8" s="479">
        <f>-'[13]TRIAL BALANCE @ 10-26-04'!E205</f>
        <v>-182</v>
      </c>
      <c r="F8" s="479">
        <f>-'[13]TRIAL BALANCE @ 10-26-04'!$F$199</f>
        <v>-350</v>
      </c>
      <c r="G8" s="479">
        <f>SUM(B8:F8)</f>
        <v>14027644</v>
      </c>
    </row>
    <row r="9" spans="1:7" s="14" customFormat="1" ht="15" customHeight="1">
      <c r="A9" s="373" t="s">
        <v>392</v>
      </c>
      <c r="B9" s="126">
        <f>-'[13]TRIAL BALANCE @ 10-26-04'!E217</f>
        <v>4046824</v>
      </c>
      <c r="C9" s="126">
        <f>-'[13]TRIAL BALANCE @ 10-26-04'!E213</f>
        <v>-14467</v>
      </c>
      <c r="D9" s="126">
        <f>-'[13]TRIAL BALANCE @ 10-26-04'!E209</f>
        <v>-1149</v>
      </c>
      <c r="E9" s="126">
        <f>-'[13]TRIAL BALANCE @ 10-26-04'!E206</f>
        <v>-68</v>
      </c>
      <c r="F9" s="126">
        <f>-'[13]TRIAL BALANCE @ 10-26-04'!$F$203</f>
        <v>-127</v>
      </c>
      <c r="G9" s="488">
        <f>SUM(B9:F9)</f>
        <v>4031013</v>
      </c>
    </row>
    <row r="10" spans="1:7" s="14" customFormat="1" ht="15" customHeight="1">
      <c r="A10" s="373" t="s">
        <v>393</v>
      </c>
      <c r="B10" s="126">
        <f>-'[13]TRIAL BALANCE @ 10-26-04'!E218</f>
        <v>51194</v>
      </c>
      <c r="C10" s="126">
        <f>-'[13]TRIAL BALANCE @ 10-26-04'!E214</f>
        <v>-472</v>
      </c>
      <c r="D10" s="126">
        <f>-'[13]TRIAL BALANCE @ 10-26-04'!E210</f>
        <v>-20</v>
      </c>
      <c r="E10" s="126">
        <v>0</v>
      </c>
      <c r="F10" s="126">
        <v>0</v>
      </c>
      <c r="G10" s="488">
        <f>SUM(B10:F10)</f>
        <v>50702</v>
      </c>
    </row>
    <row r="11" spans="1:7" s="24" customFormat="1" ht="15" customHeight="1" thickBot="1">
      <c r="A11" s="435" t="s">
        <v>382</v>
      </c>
      <c r="B11" s="138">
        <f aca="true" t="shared" si="0" ref="B11:G11">SUM(B8:B10)</f>
        <v>18169773</v>
      </c>
      <c r="C11" s="138">
        <f t="shared" si="0"/>
        <v>-53989</v>
      </c>
      <c r="D11" s="138">
        <f t="shared" si="0"/>
        <v>-5698</v>
      </c>
      <c r="E11" s="138">
        <f t="shared" si="0"/>
        <v>-250</v>
      </c>
      <c r="F11" s="138">
        <f t="shared" si="0"/>
        <v>-477</v>
      </c>
      <c r="G11" s="785">
        <f t="shared" si="0"/>
        <v>18109359</v>
      </c>
    </row>
    <row r="12" spans="1:7" s="24" customFormat="1" ht="15" customHeight="1" thickTop="1">
      <c r="A12" s="373"/>
      <c r="B12" s="126"/>
      <c r="C12" s="126"/>
      <c r="D12" s="126"/>
      <c r="E12" s="126"/>
      <c r="F12" s="126"/>
      <c r="G12" s="256"/>
    </row>
    <row r="13" spans="1:7" s="24" customFormat="1" ht="30" customHeight="1">
      <c r="A13" s="434" t="s">
        <v>489</v>
      </c>
      <c r="B13" s="126"/>
      <c r="C13" s="126"/>
      <c r="D13" s="126"/>
      <c r="E13" s="126"/>
      <c r="F13" s="126"/>
      <c r="G13" s="126"/>
    </row>
    <row r="14" spans="1:7" s="24" customFormat="1" ht="15" customHeight="1">
      <c r="A14" s="373" t="s">
        <v>447</v>
      </c>
      <c r="B14" s="126">
        <f>-'[13]TRIAL BALANCE @ 10-26-04'!E42</f>
        <v>8815076</v>
      </c>
      <c r="C14" s="126">
        <f>-'[13]TRIAL BALANCE @ 10-26-04'!E38</f>
        <v>495257</v>
      </c>
      <c r="D14" s="607">
        <v>0</v>
      </c>
      <c r="E14" s="607">
        <v>0</v>
      </c>
      <c r="F14" s="607">
        <v>0</v>
      </c>
      <c r="G14" s="488">
        <f>SUM(B14:F14)</f>
        <v>9310333</v>
      </c>
    </row>
    <row r="15" spans="1:7" s="24" customFormat="1" ht="15" customHeight="1">
      <c r="A15" s="373" t="s">
        <v>16</v>
      </c>
      <c r="B15" s="126">
        <f>-'[13]TRIAL BALANCE @ 10-26-04'!E43</f>
        <v>2544509</v>
      </c>
      <c r="C15" s="126">
        <f>-'[13]TRIAL BALANCE @ 10-26-04'!E39</f>
        <v>151008</v>
      </c>
      <c r="D15" s="126">
        <v>0</v>
      </c>
      <c r="E15" s="126">
        <v>0</v>
      </c>
      <c r="F15" s="126">
        <v>0</v>
      </c>
      <c r="G15" s="488">
        <f>SUM(B15:F15)</f>
        <v>2695517</v>
      </c>
    </row>
    <row r="16" spans="1:7" s="24" customFormat="1" ht="15" customHeight="1">
      <c r="A16" s="373" t="s">
        <v>405</v>
      </c>
      <c r="B16" s="126">
        <f>-'[13]TRIAL BALANCE @ 10-26-04'!E44</f>
        <v>31955</v>
      </c>
      <c r="C16" s="126">
        <f>-'[13]TRIAL BALANCE @ 10-26-04'!E40</f>
        <v>1786</v>
      </c>
      <c r="D16" s="126">
        <v>0</v>
      </c>
      <c r="E16" s="126">
        <v>0</v>
      </c>
      <c r="F16" s="126">
        <v>0</v>
      </c>
      <c r="G16" s="784">
        <f>SUM(B16:F16)</f>
        <v>33741</v>
      </c>
    </row>
    <row r="17" spans="1:7" s="24" customFormat="1" ht="15" customHeight="1" thickBot="1">
      <c r="A17" s="435" t="s">
        <v>382</v>
      </c>
      <c r="B17" s="138">
        <f>SUM(B14:B16)</f>
        <v>11391540</v>
      </c>
      <c r="C17" s="138">
        <f>SUM(C14:C16)</f>
        <v>648051</v>
      </c>
      <c r="D17" s="138">
        <f>SUM(D14:D16)</f>
        <v>0</v>
      </c>
      <c r="E17" s="138">
        <f>SUM(E14:E16)</f>
        <v>0</v>
      </c>
      <c r="F17" s="138">
        <v>0</v>
      </c>
      <c r="G17" s="785">
        <f>SUM(G14:G16)</f>
        <v>12039591</v>
      </c>
    </row>
    <row r="18" spans="1:7" s="24" customFormat="1" ht="15" customHeight="1" thickTop="1">
      <c r="A18" s="373"/>
      <c r="B18" s="126"/>
      <c r="C18" s="126"/>
      <c r="D18" s="126"/>
      <c r="E18" s="126"/>
      <c r="F18" s="126"/>
      <c r="G18" s="256"/>
    </row>
    <row r="19" spans="1:7" s="24" customFormat="1" ht="30" customHeight="1">
      <c r="A19" s="434" t="s">
        <v>477</v>
      </c>
      <c r="B19" s="312"/>
      <c r="C19" s="312"/>
      <c r="D19" s="312"/>
      <c r="E19" s="312"/>
      <c r="F19" s="126"/>
      <c r="G19" s="126"/>
    </row>
    <row r="20" spans="1:7" s="24" customFormat="1" ht="15" customHeight="1">
      <c r="A20" s="373" t="s">
        <v>447</v>
      </c>
      <c r="B20" s="126">
        <v>0</v>
      </c>
      <c r="C20" s="126">
        <f>'[14]Premiums YTD-8'!C20</f>
        <v>8106000</v>
      </c>
      <c r="D20" s="607">
        <v>0</v>
      </c>
      <c r="E20" s="607">
        <v>0</v>
      </c>
      <c r="F20" s="607">
        <v>0</v>
      </c>
      <c r="G20" s="488">
        <f>SUM(B20:F20)</f>
        <v>8106000</v>
      </c>
    </row>
    <row r="21" spans="1:7" s="24" customFormat="1" ht="15" customHeight="1">
      <c r="A21" s="373" t="s">
        <v>392</v>
      </c>
      <c r="B21" s="126">
        <v>0</v>
      </c>
      <c r="C21" s="126">
        <f>'[14]Premiums YTD-8'!C21</f>
        <v>2607627</v>
      </c>
      <c r="D21" s="126">
        <v>0</v>
      </c>
      <c r="E21" s="126">
        <v>0</v>
      </c>
      <c r="F21" s="126">
        <v>0</v>
      </c>
      <c r="G21" s="488">
        <f>SUM(B21:F21)</f>
        <v>2607627</v>
      </c>
    </row>
    <row r="22" spans="1:7" s="24" customFormat="1" ht="15" customHeight="1">
      <c r="A22" s="373" t="s">
        <v>393</v>
      </c>
      <c r="B22" s="126">
        <v>0</v>
      </c>
      <c r="C22" s="126">
        <f>'[14]Premiums YTD-8'!C22</f>
        <v>35860</v>
      </c>
      <c r="D22" s="126">
        <v>0</v>
      </c>
      <c r="E22" s="126">
        <v>0</v>
      </c>
      <c r="F22" s="126">
        <v>0</v>
      </c>
      <c r="G22" s="488">
        <f>SUM(B22:F22)</f>
        <v>35860</v>
      </c>
    </row>
    <row r="23" spans="1:7" s="24" customFormat="1" ht="15" customHeight="1" thickBot="1">
      <c r="A23" s="435" t="s">
        <v>382</v>
      </c>
      <c r="B23" s="138">
        <f>SUM(B20:B22)</f>
        <v>0</v>
      </c>
      <c r="C23" s="138">
        <f>SUM(C20:C22)</f>
        <v>10749487</v>
      </c>
      <c r="D23" s="138">
        <f>SUM(D20:D22)</f>
        <v>0</v>
      </c>
      <c r="E23" s="138">
        <f>SUM(E20:E22)</f>
        <v>0</v>
      </c>
      <c r="F23" s="138">
        <f>SUM(F20:F22)</f>
        <v>0</v>
      </c>
      <c r="G23" s="129">
        <f>SUM(C23:F23)</f>
        <v>10749487</v>
      </c>
    </row>
    <row r="24" spans="1:7" s="804" customFormat="1" ht="15" customHeight="1" thickTop="1">
      <c r="A24" s="436"/>
      <c r="B24" s="126"/>
      <c r="C24" s="126"/>
      <c r="D24" s="126"/>
      <c r="E24" s="890"/>
      <c r="F24" s="126"/>
      <c r="G24" s="803"/>
    </row>
    <row r="25" spans="1:7" s="24" customFormat="1" ht="15" customHeight="1">
      <c r="A25" s="434" t="s">
        <v>383</v>
      </c>
      <c r="B25" s="126"/>
      <c r="C25" s="126"/>
      <c r="D25" s="126"/>
      <c r="E25" s="126"/>
      <c r="F25" s="126"/>
      <c r="G25" s="126"/>
    </row>
    <row r="26" spans="1:7" s="24" customFormat="1" ht="15" customHeight="1">
      <c r="A26" s="373" t="s">
        <v>447</v>
      </c>
      <c r="B26" s="126">
        <f aca="true" t="shared" si="1" ref="B26:F28">B8-(B14-B20)</f>
        <v>5256679</v>
      </c>
      <c r="C26" s="126">
        <f t="shared" si="1"/>
        <v>7571693</v>
      </c>
      <c r="D26" s="126">
        <f t="shared" si="1"/>
        <v>-4529</v>
      </c>
      <c r="E26" s="126">
        <f t="shared" si="1"/>
        <v>-182</v>
      </c>
      <c r="F26" s="126">
        <f t="shared" si="1"/>
        <v>-350</v>
      </c>
      <c r="G26" s="488">
        <f>SUM(B26:F26)</f>
        <v>12823311</v>
      </c>
    </row>
    <row r="27" spans="1:7" s="24" customFormat="1" ht="15" customHeight="1">
      <c r="A27" s="373" t="s">
        <v>392</v>
      </c>
      <c r="B27" s="126">
        <f t="shared" si="1"/>
        <v>1502315</v>
      </c>
      <c r="C27" s="126">
        <f t="shared" si="1"/>
        <v>2442152</v>
      </c>
      <c r="D27" s="126">
        <f t="shared" si="1"/>
        <v>-1149</v>
      </c>
      <c r="E27" s="126">
        <f t="shared" si="1"/>
        <v>-68</v>
      </c>
      <c r="F27" s="126">
        <f t="shared" si="1"/>
        <v>-127</v>
      </c>
      <c r="G27" s="488">
        <f>SUM(B27:F27)</f>
        <v>3943123</v>
      </c>
    </row>
    <row r="28" spans="1:7" s="24" customFormat="1" ht="15" customHeight="1">
      <c r="A28" s="437" t="s">
        <v>393</v>
      </c>
      <c r="B28" s="488">
        <f t="shared" si="1"/>
        <v>19239</v>
      </c>
      <c r="C28" s="488">
        <f t="shared" si="1"/>
        <v>33602</v>
      </c>
      <c r="D28" s="488">
        <f t="shared" si="1"/>
        <v>-20</v>
      </c>
      <c r="E28" s="488">
        <f t="shared" si="1"/>
        <v>0</v>
      </c>
      <c r="F28" s="126">
        <f t="shared" si="1"/>
        <v>0</v>
      </c>
      <c r="G28" s="488">
        <f>SUM(B28:F28)</f>
        <v>52821</v>
      </c>
    </row>
    <row r="29" spans="1:7" s="24" customFormat="1" ht="15" customHeight="1" thickBot="1">
      <c r="A29" s="435" t="s">
        <v>382</v>
      </c>
      <c r="B29" s="557">
        <f aca="true" t="shared" si="2" ref="B29:G29">SUM(B26:B28)</f>
        <v>6778233</v>
      </c>
      <c r="C29" s="557">
        <f t="shared" si="2"/>
        <v>10047447</v>
      </c>
      <c r="D29" s="557">
        <f t="shared" si="2"/>
        <v>-5698</v>
      </c>
      <c r="E29" s="557">
        <f t="shared" si="2"/>
        <v>-250</v>
      </c>
      <c r="F29" s="557">
        <f t="shared" si="2"/>
        <v>-477</v>
      </c>
      <c r="G29" s="557">
        <f t="shared" si="2"/>
        <v>16819255</v>
      </c>
    </row>
    <row r="30" spans="1:7" s="24" customFormat="1" ht="15" customHeight="1" thickTop="1">
      <c r="A30" s="435"/>
      <c r="B30" s="480"/>
      <c r="C30" s="480"/>
      <c r="D30" s="480"/>
      <c r="E30" s="808"/>
      <c r="F30" s="808"/>
      <c r="G30" s="480"/>
    </row>
    <row r="31" spans="1:7" s="809" customFormat="1" ht="15" customHeight="1">
      <c r="A31" s="1003" t="s">
        <v>1</v>
      </c>
      <c r="B31" s="1003"/>
      <c r="C31" s="1003"/>
      <c r="D31" s="1003"/>
      <c r="E31" s="1003"/>
      <c r="F31" s="1003"/>
      <c r="G31" s="1003"/>
    </row>
    <row r="32" spans="1:7" s="809" customFormat="1" ht="15" customHeight="1">
      <c r="A32" s="1003"/>
      <c r="B32" s="1003"/>
      <c r="C32" s="1003"/>
      <c r="D32" s="1003"/>
      <c r="E32" s="1003"/>
      <c r="F32" s="1003"/>
      <c r="G32" s="1003"/>
    </row>
    <row r="33" spans="1:7" s="809" customFormat="1" ht="15" customHeight="1">
      <c r="A33" s="1003"/>
      <c r="B33" s="1003"/>
      <c r="C33" s="1003"/>
      <c r="D33" s="1003"/>
      <c r="E33" s="1003"/>
      <c r="F33" s="1003"/>
      <c r="G33" s="1003"/>
    </row>
    <row r="34" spans="2:7" s="135" customFormat="1" ht="15" customHeight="1">
      <c r="B34" s="1004" t="s">
        <v>435</v>
      </c>
      <c r="C34" s="1004" t="s">
        <v>463</v>
      </c>
      <c r="E34" s="891"/>
      <c r="F34" s="1004" t="s">
        <v>435</v>
      </c>
      <c r="G34" s="1004" t="s">
        <v>463</v>
      </c>
    </row>
    <row r="35" spans="1:7" s="135" customFormat="1" ht="15" customHeight="1">
      <c r="A35" s="892" t="s">
        <v>320</v>
      </c>
      <c r="B35" s="1004"/>
      <c r="C35" s="1004"/>
      <c r="E35" s="893" t="s">
        <v>320</v>
      </c>
      <c r="F35" s="1004"/>
      <c r="G35" s="1004"/>
    </row>
    <row r="36" spans="1:7" s="135" customFormat="1" ht="15" customHeight="1">
      <c r="A36" s="894" t="s">
        <v>473</v>
      </c>
      <c r="B36" s="894">
        <v>1343200</v>
      </c>
      <c r="C36" s="894">
        <f>B36+478783</f>
        <v>1821983</v>
      </c>
      <c r="D36" s="895" t="s">
        <v>77</v>
      </c>
      <c r="E36" s="894">
        <v>516016</v>
      </c>
      <c r="F36" s="894">
        <v>1645690</v>
      </c>
      <c r="G36" s="894">
        <f>SUM(E36:F36)</f>
        <v>2161706</v>
      </c>
    </row>
    <row r="37" spans="1:7" s="135" customFormat="1" ht="15" customHeight="1">
      <c r="A37" s="894" t="s">
        <v>474</v>
      </c>
      <c r="B37" s="894">
        <v>1418672</v>
      </c>
      <c r="C37" s="894">
        <f>B37+487924</f>
        <v>1906596</v>
      </c>
      <c r="D37" s="895" t="s">
        <v>2</v>
      </c>
      <c r="E37" s="894">
        <f>'[12]2Q04'!$G$28</f>
        <v>504458</v>
      </c>
      <c r="F37" s="894">
        <f>'[11]Sheet1'!$F$15</f>
        <v>1739979</v>
      </c>
      <c r="G37" s="894">
        <f>SUM(E37:F37)</f>
        <v>2244437</v>
      </c>
    </row>
    <row r="38" spans="1:7" s="135" customFormat="1" ht="15" customHeight="1">
      <c r="A38" s="894" t="s">
        <v>475</v>
      </c>
      <c r="B38" s="894">
        <v>1518349</v>
      </c>
      <c r="C38" s="894">
        <f>B38+509815</f>
        <v>2028164</v>
      </c>
      <c r="D38" s="895" t="s">
        <v>0</v>
      </c>
      <c r="E38" s="894">
        <v>486228</v>
      </c>
      <c r="F38" s="894">
        <v>1876360</v>
      </c>
      <c r="G38" s="894">
        <f>SUM(E38:F38)</f>
        <v>2362588</v>
      </c>
    </row>
    <row r="39" spans="1:7" s="135" customFormat="1" ht="15" customHeight="1">
      <c r="A39" s="894" t="s">
        <v>476</v>
      </c>
      <c r="B39" s="894">
        <v>1585267</v>
      </c>
      <c r="C39" s="894">
        <f>B39+508338</f>
        <v>2093605</v>
      </c>
      <c r="D39" s="895"/>
      <c r="E39" s="894"/>
      <c r="F39" s="894"/>
      <c r="G39" s="894"/>
    </row>
    <row r="40" spans="1:7" s="135" customFormat="1" ht="15" customHeight="1">
      <c r="A40" s="895"/>
      <c r="B40" s="896"/>
      <c r="C40" s="896"/>
      <c r="D40" s="896"/>
      <c r="E40" s="895"/>
      <c r="F40" s="897"/>
      <c r="G40" s="897"/>
    </row>
    <row r="41" spans="1:7" s="135" customFormat="1" ht="15" customHeight="1">
      <c r="A41" s="1003" t="s">
        <v>438</v>
      </c>
      <c r="B41" s="1003"/>
      <c r="C41" s="1003"/>
      <c r="D41" s="1003"/>
      <c r="E41" s="1003"/>
      <c r="F41" s="1003"/>
      <c r="G41" s="1003"/>
    </row>
    <row r="42" spans="1:7" s="135" customFormat="1" ht="15" customHeight="1">
      <c r="A42" s="1003"/>
      <c r="B42" s="1003"/>
      <c r="C42" s="1003"/>
      <c r="D42" s="1003"/>
      <c r="E42" s="1003"/>
      <c r="F42" s="1003"/>
      <c r="G42" s="1003"/>
    </row>
    <row r="43" spans="1:7" s="135" customFormat="1" ht="15" customHeight="1">
      <c r="A43" s="895"/>
      <c r="B43" s="896"/>
      <c r="C43" s="896"/>
      <c r="D43" s="896"/>
      <c r="E43" s="895"/>
      <c r="F43" s="897"/>
      <c r="G43" s="897"/>
    </row>
    <row r="44" spans="1:7" s="135" customFormat="1" ht="15" customHeight="1">
      <c r="A44" s="895"/>
      <c r="B44" s="896"/>
      <c r="C44" s="896"/>
      <c r="D44" s="896"/>
      <c r="E44" s="895"/>
      <c r="F44" s="897"/>
      <c r="G44" s="897"/>
    </row>
    <row r="45" spans="1:7" s="135" customFormat="1" ht="15" customHeight="1">
      <c r="A45" s="895"/>
      <c r="B45" s="896"/>
      <c r="C45" s="896"/>
      <c r="D45" s="896"/>
      <c r="E45" s="895"/>
      <c r="F45" s="897"/>
      <c r="G45" s="897"/>
    </row>
    <row r="46" spans="1:7" s="135" customFormat="1" ht="15" customHeight="1">
      <c r="A46" s="895"/>
      <c r="B46" s="896"/>
      <c r="C46" s="896"/>
      <c r="D46" s="896"/>
      <c r="E46" s="895"/>
      <c r="F46" s="897"/>
      <c r="G46" s="897"/>
    </row>
    <row r="47" spans="1:7" s="135" customFormat="1" ht="15" customHeight="1">
      <c r="A47" s="895"/>
      <c r="B47" s="896"/>
      <c r="C47" s="896"/>
      <c r="D47" s="896"/>
      <c r="E47" s="895"/>
      <c r="F47" s="897"/>
      <c r="G47" s="897"/>
    </row>
    <row r="48" spans="1:7" s="135" customFormat="1" ht="15" customHeight="1">
      <c r="A48" s="895"/>
      <c r="B48" s="896"/>
      <c r="C48" s="896"/>
      <c r="D48" s="896"/>
      <c r="E48" s="895"/>
      <c r="F48" s="897"/>
      <c r="G48" s="897"/>
    </row>
    <row r="49" spans="1:7" s="135" customFormat="1" ht="15" customHeight="1">
      <c r="A49" s="895"/>
      <c r="B49" s="896"/>
      <c r="C49" s="896"/>
      <c r="D49" s="896"/>
      <c r="E49" s="895"/>
      <c r="F49" s="897"/>
      <c r="G49" s="897"/>
    </row>
    <row r="50" spans="1:7" s="135" customFormat="1" ht="15" customHeight="1">
      <c r="A50" s="895"/>
      <c r="B50" s="896"/>
      <c r="C50" s="896"/>
      <c r="D50" s="896"/>
      <c r="E50" s="895"/>
      <c r="F50" s="897"/>
      <c r="G50" s="897"/>
    </row>
    <row r="51" spans="1:7" s="135" customFormat="1" ht="15" customHeight="1">
      <c r="A51" s="895"/>
      <c r="B51" s="896"/>
      <c r="C51" s="896"/>
      <c r="D51" s="896"/>
      <c r="E51" s="895"/>
      <c r="F51" s="897"/>
      <c r="G51" s="897"/>
    </row>
    <row r="52" spans="1:7" s="135" customFormat="1" ht="15" customHeight="1">
      <c r="A52" s="895"/>
      <c r="B52" s="896"/>
      <c r="C52" s="896"/>
      <c r="D52" s="896"/>
      <c r="E52" s="895"/>
      <c r="F52" s="897"/>
      <c r="G52" s="897"/>
    </row>
    <row r="53" spans="1:7" s="135" customFormat="1" ht="15" customHeight="1">
      <c r="A53" s="895"/>
      <c r="B53" s="896"/>
      <c r="C53" s="896"/>
      <c r="D53" s="896"/>
      <c r="E53" s="895"/>
      <c r="F53" s="897"/>
      <c r="G53" s="897"/>
    </row>
    <row r="54" spans="1:7" s="135" customFormat="1" ht="15" customHeight="1">
      <c r="A54" s="895"/>
      <c r="B54" s="896"/>
      <c r="C54" s="896"/>
      <c r="D54" s="896"/>
      <c r="E54" s="895"/>
      <c r="F54" s="897"/>
      <c r="G54" s="897"/>
    </row>
    <row r="55" spans="1:7" s="135" customFormat="1" ht="15" customHeight="1">
      <c r="A55" s="895"/>
      <c r="B55" s="896"/>
      <c r="C55" s="896"/>
      <c r="D55" s="896"/>
      <c r="E55" s="895"/>
      <c r="F55" s="897"/>
      <c r="G55" s="897"/>
    </row>
    <row r="56" spans="1:7" s="135" customFormat="1" ht="15" customHeight="1">
      <c r="A56" s="895"/>
      <c r="B56" s="896"/>
      <c r="C56" s="896"/>
      <c r="D56" s="896"/>
      <c r="E56" s="895"/>
      <c r="F56" s="897"/>
      <c r="G56" s="897"/>
    </row>
    <row r="57" spans="1:7" s="135" customFormat="1" ht="15" customHeight="1">
      <c r="A57" s="895"/>
      <c r="B57" s="896"/>
      <c r="C57" s="896"/>
      <c r="D57" s="896"/>
      <c r="E57" s="895"/>
      <c r="F57" s="897"/>
      <c r="G57" s="897"/>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K55"/>
  <sheetViews>
    <sheetView zoomScale="75" zoomScaleNormal="75" workbookViewId="0" topLeftCell="A1">
      <selection activeCell="A2" sqref="A2"/>
    </sheetView>
  </sheetViews>
  <sheetFormatPr defaultColWidth="9.140625" defaultRowHeight="15" customHeight="1"/>
  <cols>
    <col min="1" max="1" width="45.7109375" style="340" customWidth="1"/>
    <col min="2" max="2" width="17.140625" style="583" customWidth="1"/>
    <col min="3" max="3" width="17.8515625" style="583" customWidth="1"/>
    <col min="4" max="4" width="16.57421875" style="583" customWidth="1"/>
    <col min="5" max="5" width="17.7109375" style="584" customWidth="1"/>
    <col min="6" max="6" width="18.00390625" style="584" customWidth="1"/>
    <col min="7" max="7" width="20.7109375" style="584" customWidth="1"/>
    <col min="8" max="16384" width="15.7109375" style="340" customWidth="1"/>
  </cols>
  <sheetData>
    <row r="1" spans="1:7" s="365" customFormat="1" ht="30" customHeight="1">
      <c r="A1" s="898" t="s">
        <v>254</v>
      </c>
      <c r="B1" s="577"/>
      <c r="C1" s="577"/>
      <c r="D1" s="577"/>
      <c r="E1" s="578"/>
      <c r="F1" s="578"/>
      <c r="G1" s="579"/>
    </row>
    <row r="2" spans="1:7" s="166" customFormat="1" ht="15" customHeight="1">
      <c r="A2" s="887"/>
      <c r="B2" s="899"/>
      <c r="C2" s="899"/>
      <c r="D2" s="899"/>
      <c r="E2" s="900"/>
      <c r="F2" s="900"/>
      <c r="G2" s="899"/>
    </row>
    <row r="3" spans="1:7" s="166" customFormat="1" ht="15" customHeight="1">
      <c r="A3" s="901" t="s">
        <v>388</v>
      </c>
      <c r="B3" s="900"/>
      <c r="C3" s="900"/>
      <c r="D3" s="900"/>
      <c r="E3" s="902"/>
      <c r="F3" s="902"/>
      <c r="G3" s="899"/>
    </row>
    <row r="4" spans="1:7" s="166" customFormat="1" ht="15" customHeight="1">
      <c r="A4" s="901" t="s">
        <v>486</v>
      </c>
      <c r="B4" s="900"/>
      <c r="C4" s="900"/>
      <c r="D4" s="900"/>
      <c r="E4" s="902"/>
      <c r="F4" s="902"/>
      <c r="G4" s="899"/>
    </row>
    <row r="5" spans="1:7" s="366" customFormat="1" ht="15" customHeight="1">
      <c r="A5" s="453"/>
      <c r="B5" s="581"/>
      <c r="C5" s="581"/>
      <c r="D5" s="581"/>
      <c r="E5" s="580"/>
      <c r="F5" s="580"/>
      <c r="G5" s="582"/>
    </row>
    <row r="6" spans="1:7" ht="30" customHeight="1">
      <c r="A6" s="903" t="s">
        <v>80</v>
      </c>
      <c r="B6" s="904" t="s">
        <v>194</v>
      </c>
      <c r="C6" s="904" t="s">
        <v>42</v>
      </c>
      <c r="D6" s="904" t="s">
        <v>46</v>
      </c>
      <c r="E6" s="905" t="s">
        <v>143</v>
      </c>
      <c r="F6" s="905" t="s">
        <v>213</v>
      </c>
      <c r="G6" s="906" t="s">
        <v>255</v>
      </c>
    </row>
    <row r="7" spans="1:7" ht="15" customHeight="1">
      <c r="A7" s="907"/>
      <c r="B7" s="908"/>
      <c r="C7" s="908"/>
      <c r="D7" s="908"/>
      <c r="E7" s="908"/>
      <c r="F7" s="908"/>
      <c r="G7" s="908"/>
    </row>
    <row r="8" spans="1:7" ht="15" customHeight="1">
      <c r="A8" s="907" t="s">
        <v>389</v>
      </c>
      <c r="B8" s="908"/>
      <c r="C8" s="908"/>
      <c r="D8" s="908"/>
      <c r="E8" s="908"/>
      <c r="F8" s="908"/>
      <c r="G8" s="908"/>
    </row>
    <row r="9" spans="1:7" ht="15" customHeight="1">
      <c r="A9" s="907" t="s">
        <v>390</v>
      </c>
      <c r="B9" s="909"/>
      <c r="C9" s="909"/>
      <c r="D9" s="909"/>
      <c r="E9" s="909"/>
      <c r="F9" s="909"/>
      <c r="G9" s="909"/>
    </row>
    <row r="10" spans="1:7" ht="15" customHeight="1">
      <c r="A10" s="910" t="s">
        <v>391</v>
      </c>
      <c r="B10" s="479">
        <f>'[13]TRIAL BALANCE @ 10-26-04'!C264</f>
        <v>587369.55</v>
      </c>
      <c r="C10" s="479">
        <f>'[13]TRIAL BALANCE @ 10-26-04'!C260+'[13]TRIAL BALANCE @ 10-26-04'!C279</f>
        <v>1749281.12</v>
      </c>
      <c r="D10" s="479">
        <f>'[13]TRIAL BALANCE @ 10-26-04'!C257</f>
        <v>225323.48</v>
      </c>
      <c r="E10" s="911">
        <f>'[13]TRIAL BALANCE @ 10-26-04'!C254</f>
        <v>0</v>
      </c>
      <c r="F10" s="479">
        <f>'[13]TRIAL BALANCE @ 10-26-04'!$D$252</f>
        <v>25071.420000000002</v>
      </c>
      <c r="G10" s="479">
        <f>SUM(B10:F10)-1</f>
        <v>2587044.57</v>
      </c>
    </row>
    <row r="11" spans="1:7" ht="15" customHeight="1">
      <c r="A11" s="910" t="s">
        <v>392</v>
      </c>
      <c r="B11" s="911">
        <f>'[13]TRIAL BALANCE @ 10-26-04'!C265</f>
        <v>150756.71</v>
      </c>
      <c r="C11" s="911">
        <f>'[13]TRIAL BALANCE @ 10-26-04'!C261</f>
        <v>263006.23</v>
      </c>
      <c r="D11" s="911">
        <f>'[13]TRIAL BALANCE @ 10-26-04'!C258</f>
        <v>0</v>
      </c>
      <c r="E11" s="911">
        <f>'[13]TRIAL BALANCE @ 10-26-04'!C255</f>
        <v>5752.89</v>
      </c>
      <c r="F11" s="911">
        <f>'[13]TRIAL BALANCE @ 10-26-04'!$C$273</f>
        <v>-17.88</v>
      </c>
      <c r="G11" s="911">
        <f>SUM(B11:F11)</f>
        <v>419497.94999999995</v>
      </c>
    </row>
    <row r="12" spans="1:7" ht="15" customHeight="1">
      <c r="A12" s="910" t="s">
        <v>393</v>
      </c>
      <c r="B12" s="911">
        <v>0</v>
      </c>
      <c r="C12" s="911">
        <f>'[13]TRIAL BALANCE @ 10-26-04'!C262</f>
        <v>0</v>
      </c>
      <c r="D12" s="911">
        <v>0</v>
      </c>
      <c r="E12" s="911">
        <v>0</v>
      </c>
      <c r="F12" s="911">
        <v>0</v>
      </c>
      <c r="G12" s="911">
        <f>SUM(B12:F12)</f>
        <v>0</v>
      </c>
    </row>
    <row r="13" spans="1:7" ht="15" customHeight="1" thickBot="1">
      <c r="A13" s="455" t="s">
        <v>382</v>
      </c>
      <c r="B13" s="871">
        <f>SUM(B10:B12)+1</f>
        <v>738127.26</v>
      </c>
      <c r="C13" s="871">
        <f>SUM(C10:C12)</f>
        <v>2012287.35</v>
      </c>
      <c r="D13" s="871">
        <f>SUM(D10:D12)</f>
        <v>225323.48</v>
      </c>
      <c r="E13" s="912">
        <f>SUM(E10:E12)</f>
        <v>5752.89</v>
      </c>
      <c r="F13" s="912">
        <f>SUM(F10:F12)-1</f>
        <v>25052.54</v>
      </c>
      <c r="G13" s="913">
        <f>SUM(G10:G12)</f>
        <v>3006542.5199999996</v>
      </c>
    </row>
    <row r="14" spans="1:7" ht="15" customHeight="1" thickTop="1">
      <c r="A14" s="910"/>
      <c r="B14" s="914"/>
      <c r="C14" s="914"/>
      <c r="D14" s="914"/>
      <c r="E14" s="911"/>
      <c r="F14" s="911"/>
      <c r="G14" s="911"/>
    </row>
    <row r="15" spans="1:7" ht="15" customHeight="1">
      <c r="A15" s="907" t="s">
        <v>491</v>
      </c>
      <c r="B15" s="914"/>
      <c r="C15" s="914"/>
      <c r="D15" s="914"/>
      <c r="E15" s="911"/>
      <c r="F15" s="911"/>
      <c r="G15" s="911"/>
    </row>
    <row r="16" spans="1:7" ht="15" customHeight="1">
      <c r="A16" s="910" t="s">
        <v>394</v>
      </c>
      <c r="B16" s="911">
        <f>'Losses Incurred YTD-10'!B16</f>
        <v>1442463.2</v>
      </c>
      <c r="C16" s="911">
        <f>'Losses Incurred YTD-10'!C16</f>
        <v>2391789.21</v>
      </c>
      <c r="D16" s="911">
        <f>'Losses Incurred YTD-10'!D16</f>
        <v>96842.08</v>
      </c>
      <c r="E16" s="911">
        <f>'Losses Incurred YTD-10'!E16</f>
        <v>85000</v>
      </c>
      <c r="F16" s="911">
        <f>'Losses Incurred YTD-10'!F16</f>
        <v>67036.82</v>
      </c>
      <c r="G16" s="911">
        <f>SUM(B16:F16)</f>
        <v>4083131.31</v>
      </c>
    </row>
    <row r="17" spans="1:7" ht="15" customHeight="1">
      <c r="A17" s="910" t="s">
        <v>395</v>
      </c>
      <c r="B17" s="911">
        <f>'Losses Incurred YTD-10'!B17</f>
        <v>207833</v>
      </c>
      <c r="C17" s="911">
        <f>'Losses Incurred YTD-10'!C17</f>
        <v>162474.91</v>
      </c>
      <c r="D17" s="911">
        <f>'Losses Incurred YTD-10'!D17</f>
        <v>9171.92</v>
      </c>
      <c r="E17" s="911">
        <f>'Losses Incurred YTD-10'!E17</f>
        <v>500</v>
      </c>
      <c r="F17" s="911">
        <f>'Losses Incurred YTD-10'!F17</f>
        <v>0</v>
      </c>
      <c r="G17" s="911">
        <f>SUM(B17:F17)</f>
        <v>379979.83</v>
      </c>
    </row>
    <row r="18" spans="1:7" ht="15" customHeight="1">
      <c r="A18" s="910" t="s">
        <v>396</v>
      </c>
      <c r="B18" s="911">
        <f>'Losses Incurred YTD-10'!B18</f>
        <v>2500</v>
      </c>
      <c r="C18" s="911">
        <f>'Losses Incurred YTD-10'!C18</f>
        <v>0</v>
      </c>
      <c r="D18" s="911">
        <f>'Losses Incurred YTD-10'!D18</f>
        <v>0</v>
      </c>
      <c r="E18" s="911">
        <f>'Losses Incurred YTD-10'!E18</f>
        <v>0</v>
      </c>
      <c r="F18" s="911">
        <f>'Losses Incurred YTD-10'!F18</f>
        <v>0</v>
      </c>
      <c r="G18" s="911">
        <f>SUM(B18:F18)</f>
        <v>2500</v>
      </c>
    </row>
    <row r="19" spans="1:7" ht="15" customHeight="1" thickBot="1">
      <c r="A19" s="455" t="s">
        <v>382</v>
      </c>
      <c r="B19" s="871">
        <f aca="true" t="shared" si="0" ref="B19:G19">SUM(B16:B18)</f>
        <v>1652796.2</v>
      </c>
      <c r="C19" s="871">
        <f t="shared" si="0"/>
        <v>2554264.12</v>
      </c>
      <c r="D19" s="871">
        <f t="shared" si="0"/>
        <v>106014</v>
      </c>
      <c r="E19" s="912">
        <f t="shared" si="0"/>
        <v>85500</v>
      </c>
      <c r="F19" s="912">
        <f t="shared" si="0"/>
        <v>67036.82</v>
      </c>
      <c r="G19" s="913">
        <f t="shared" si="0"/>
        <v>4465611.14</v>
      </c>
    </row>
    <row r="20" spans="1:7" ht="15" customHeight="1" thickTop="1">
      <c r="A20" s="455"/>
      <c r="B20" s="867"/>
      <c r="C20" s="867"/>
      <c r="D20" s="867"/>
      <c r="E20" s="915"/>
      <c r="F20" s="915"/>
      <c r="G20" s="916"/>
    </row>
    <row r="21" spans="1:11" ht="15" customHeight="1">
      <c r="A21" s="907" t="s">
        <v>492</v>
      </c>
      <c r="B21" s="917"/>
      <c r="C21" s="917"/>
      <c r="D21" s="917"/>
      <c r="E21" s="917"/>
      <c r="F21" s="917"/>
      <c r="G21" s="918"/>
      <c r="H21" s="584"/>
      <c r="I21" s="584"/>
      <c r="J21" s="584"/>
      <c r="K21" s="919"/>
    </row>
    <row r="22" spans="1:11" ht="15" customHeight="1">
      <c r="A22" s="910" t="s">
        <v>394</v>
      </c>
      <c r="B22" s="911">
        <f>'Losses Incurred YTD-10'!B22</f>
        <v>620480.62</v>
      </c>
      <c r="C22" s="911">
        <f>'Losses Incurred YTD-10'!C22</f>
        <v>1028836.55</v>
      </c>
      <c r="D22" s="911">
        <f>'Losses Incurred YTD-10'!D22</f>
        <v>41656.96</v>
      </c>
      <c r="E22" s="911">
        <f>'Losses Incurred YTD-10'!E22</f>
        <v>65399.61</v>
      </c>
      <c r="F22" s="911">
        <f>'Losses Incurred YTD-10'!F22</f>
        <v>0</v>
      </c>
      <c r="G22" s="911">
        <f>SUM(B22:F22)+1</f>
        <v>1756374.74</v>
      </c>
      <c r="H22" s="584"/>
      <c r="I22" s="584"/>
      <c r="J22" s="584"/>
      <c r="K22" s="919"/>
    </row>
    <row r="23" spans="1:11" ht="15" customHeight="1">
      <c r="A23" s="910" t="s">
        <v>395</v>
      </c>
      <c r="B23" s="911">
        <f>'Losses Incurred YTD-10'!B23</f>
        <v>89400.1</v>
      </c>
      <c r="C23" s="911">
        <f>'Losses Incurred YTD-10'!C23</f>
        <v>69889.15</v>
      </c>
      <c r="D23" s="911">
        <f>'Losses Incurred YTD-10'!D23</f>
        <v>3945.33</v>
      </c>
      <c r="E23" s="911">
        <f>'Losses Incurred YTD-10'!E23</f>
        <v>215.08</v>
      </c>
      <c r="F23" s="911">
        <f>'Losses Incurred YTD-10'!F23</f>
        <v>0</v>
      </c>
      <c r="G23" s="911">
        <f>SUM(B23:F23)-1</f>
        <v>163448.65999999997</v>
      </c>
      <c r="H23" s="584"/>
      <c r="I23" s="584"/>
      <c r="J23" s="584"/>
      <c r="K23" s="919"/>
    </row>
    <row r="24" spans="1:11" ht="15" customHeight="1">
      <c r="A24" s="910" t="s">
        <v>396</v>
      </c>
      <c r="B24" s="911">
        <f>'Losses Incurred YTD-10'!B24</f>
        <v>1075.38</v>
      </c>
      <c r="C24" s="911">
        <f>'Losses Incurred YTD-10'!C24</f>
        <v>0</v>
      </c>
      <c r="D24" s="911">
        <f>'Losses Incurred YTD-10'!D24</f>
        <v>0</v>
      </c>
      <c r="E24" s="911">
        <f>'Losses Incurred YTD-10'!E24</f>
        <v>0</v>
      </c>
      <c r="F24" s="911">
        <f>'Losses Incurred YTD-10'!F24</f>
        <v>0</v>
      </c>
      <c r="G24" s="911">
        <f>SUM(B24:F24)</f>
        <v>1075.38</v>
      </c>
      <c r="H24" s="584"/>
      <c r="I24" s="584"/>
      <c r="J24" s="584"/>
      <c r="K24" s="919"/>
    </row>
    <row r="25" spans="1:11" ht="15" customHeight="1" thickBot="1">
      <c r="A25" s="455" t="s">
        <v>382</v>
      </c>
      <c r="B25" s="871">
        <f aca="true" t="shared" si="1" ref="B25:G25">SUM(B22:B24)</f>
        <v>710956.1</v>
      </c>
      <c r="C25" s="871">
        <f t="shared" si="1"/>
        <v>1098725.7</v>
      </c>
      <c r="D25" s="871">
        <f t="shared" si="1"/>
        <v>45602.29</v>
      </c>
      <c r="E25" s="912">
        <f t="shared" si="1"/>
        <v>65614.69</v>
      </c>
      <c r="F25" s="912">
        <f t="shared" si="1"/>
        <v>0</v>
      </c>
      <c r="G25" s="913">
        <f t="shared" si="1"/>
        <v>1920898.7799999998</v>
      </c>
      <c r="H25" s="584"/>
      <c r="I25" s="584"/>
      <c r="J25" s="584"/>
      <c r="K25" s="919"/>
    </row>
    <row r="26" spans="1:7" s="945" customFormat="1" ht="15" customHeight="1" thickTop="1">
      <c r="A26" s="943"/>
      <c r="B26" s="944">
        <f aca="true" t="shared" si="2" ref="B26:G26">+B19+B25</f>
        <v>2363752.3</v>
      </c>
      <c r="C26" s="944">
        <f t="shared" si="2"/>
        <v>3652989.8200000003</v>
      </c>
      <c r="D26" s="944">
        <f t="shared" si="2"/>
        <v>151616.29</v>
      </c>
      <c r="E26" s="944">
        <f t="shared" si="2"/>
        <v>151114.69</v>
      </c>
      <c r="F26" s="944">
        <f t="shared" si="2"/>
        <v>67036.82</v>
      </c>
      <c r="G26" s="944">
        <f t="shared" si="2"/>
        <v>6386509.92</v>
      </c>
    </row>
    <row r="27" spans="1:7" ht="15" customHeight="1">
      <c r="A27" s="907" t="s">
        <v>493</v>
      </c>
      <c r="B27" s="920"/>
      <c r="C27" s="920"/>
      <c r="D27" s="920"/>
      <c r="E27" s="911"/>
      <c r="F27" s="911"/>
      <c r="G27" s="911"/>
    </row>
    <row r="28" spans="1:7" ht="15" customHeight="1">
      <c r="A28" s="907" t="s">
        <v>464</v>
      </c>
      <c r="B28" s="920"/>
      <c r="C28" s="920"/>
      <c r="D28" s="920"/>
      <c r="E28" s="911"/>
      <c r="F28" s="911"/>
      <c r="G28" s="911"/>
    </row>
    <row r="29" spans="1:7" ht="15" customHeight="1">
      <c r="A29" s="910" t="s">
        <v>394</v>
      </c>
      <c r="B29" s="914">
        <f>'[14]Losses Incurred YTD-10'!B16+'[14]Losses Incurred QTD-9'!$B$22</f>
        <v>1330272.32</v>
      </c>
      <c r="C29" s="914">
        <f>'[14]Losses Incurred YTD-10'!C16+'[14]Losses Incurred QTD-9'!$C$22</f>
        <v>4197165.87</v>
      </c>
      <c r="D29" s="914">
        <f>'[14]Losses Incurred YTD-10'!D16+'[14]Losses Incurred QTD-9'!$D$22</f>
        <v>396969.98</v>
      </c>
      <c r="E29" s="914">
        <f>'[14]Losses Incurred YTD-10'!E16+'[14]Losses Incurred QTD-9'!$E$22</f>
        <v>103075.63</v>
      </c>
      <c r="F29" s="914">
        <f>'[14]Losses Incurred YTD-10'!F16+'[14]Losses Incurred QTD-9'!$F$22</f>
        <v>119664.54000000001</v>
      </c>
      <c r="G29" s="911">
        <f>SUM(B29:F29)+1</f>
        <v>6147149.34</v>
      </c>
    </row>
    <row r="30" spans="1:7" ht="15" customHeight="1">
      <c r="A30" s="910" t="s">
        <v>395</v>
      </c>
      <c r="B30" s="914">
        <f>'[14]Losses Incurred YTD-10'!B17+'[14]Losses Incurred QTD-9'!$B$23</f>
        <v>229179.32</v>
      </c>
      <c r="C30" s="914">
        <f>'[14]Losses Incurred YTD-10'!C17+'[14]Losses Incurred QTD-9'!$C$23</f>
        <v>341686.79</v>
      </c>
      <c r="D30" s="914">
        <f>'[14]Losses Incurred YTD-10'!D17+'[14]Losses Incurred QTD-9'!$D$23-1</f>
        <v>14149.5</v>
      </c>
      <c r="E30" s="914">
        <f>'[14]Losses Incurred YTD-10'!E17+'[14]Losses Incurred QTD-9'!$E$23</f>
        <v>7281.9</v>
      </c>
      <c r="F30" s="914">
        <f>'[14]Losses Incurred YTD-10'!F17</f>
        <v>0</v>
      </c>
      <c r="G30" s="911">
        <f>SUM(B30:F30)</f>
        <v>592297.51</v>
      </c>
    </row>
    <row r="31" spans="1:7" ht="15" customHeight="1">
      <c r="A31" s="910" t="s">
        <v>396</v>
      </c>
      <c r="B31" s="914">
        <f>'[14]Losses Incurred YTD-10'!B18</f>
        <v>0</v>
      </c>
      <c r="C31" s="914">
        <f>'[14]Losses Incurred YTD-10'!C18</f>
        <v>0</v>
      </c>
      <c r="D31" s="914">
        <f>'[14]Losses Incurred YTD-10'!D18</f>
        <v>0</v>
      </c>
      <c r="E31" s="914">
        <f>'[14]Losses Incurred YTD-10'!E18</f>
        <v>0</v>
      </c>
      <c r="F31" s="914">
        <f>'[14]Losses Incurred YTD-10'!F18</f>
        <v>0</v>
      </c>
      <c r="G31" s="911">
        <f>SUM(B31:F31)</f>
        <v>0</v>
      </c>
    </row>
    <row r="32" spans="1:7" ht="15" customHeight="1" thickBot="1">
      <c r="A32" s="455" t="s">
        <v>382</v>
      </c>
      <c r="B32" s="871">
        <f>SUM(B29:B31)-1</f>
        <v>1559450.6400000001</v>
      </c>
      <c r="C32" s="871">
        <f>SUM(C29:C31)</f>
        <v>4538852.66</v>
      </c>
      <c r="D32" s="871">
        <f>SUM(D29:D31)+1</f>
        <v>411120.48</v>
      </c>
      <c r="E32" s="912">
        <f>SUM(E29:E31)</f>
        <v>110357.53</v>
      </c>
      <c r="F32" s="912">
        <f>SUM(F29:F31)</f>
        <v>119664.54000000001</v>
      </c>
      <c r="G32" s="913">
        <f>SUM(G29:G31)</f>
        <v>6739446.85</v>
      </c>
    </row>
    <row r="33" spans="1:8" s="922" customFormat="1" ht="15" customHeight="1" thickTop="1">
      <c r="A33" s="921"/>
      <c r="B33" s="920"/>
      <c r="C33" s="920"/>
      <c r="D33" s="920"/>
      <c r="E33" s="920"/>
      <c r="F33" s="920"/>
      <c r="G33" s="920"/>
      <c r="H33" s="340"/>
    </row>
    <row r="34" spans="1:7" ht="15" customHeight="1">
      <c r="A34" s="907" t="s">
        <v>397</v>
      </c>
      <c r="B34" s="914"/>
      <c r="C34" s="914"/>
      <c r="D34" s="914"/>
      <c r="E34" s="911"/>
      <c r="F34" s="911"/>
      <c r="G34" s="911"/>
    </row>
    <row r="35" spans="1:7" ht="15" customHeight="1">
      <c r="A35" s="910" t="s">
        <v>394</v>
      </c>
      <c r="B35" s="911">
        <f>B10+(B16+B22-B29)</f>
        <v>1320041.0499999998</v>
      </c>
      <c r="C35" s="911">
        <f aca="true" t="shared" si="3" ref="B35:F37">C10+(C16+C22-C29)</f>
        <v>972741.0099999998</v>
      </c>
      <c r="D35" s="911">
        <f>D10+(D16+D22-D29)-1</f>
        <v>-33148.45999999996</v>
      </c>
      <c r="E35" s="911">
        <f t="shared" si="3"/>
        <v>47323.97999999998</v>
      </c>
      <c r="F35" s="911">
        <f>F10+(F16+F22-F29)-1</f>
        <v>-27557.3</v>
      </c>
      <c r="G35" s="911">
        <f>SUM(B35:F35)+1</f>
        <v>2279401.28</v>
      </c>
    </row>
    <row r="36" spans="1:7" ht="15" customHeight="1">
      <c r="A36" s="910" t="s">
        <v>395</v>
      </c>
      <c r="B36" s="911">
        <f>B11+(B17+B23-B30)+1</f>
        <v>218811.48999999996</v>
      </c>
      <c r="C36" s="911">
        <f>C11+(C17+C23-C30)-1</f>
        <v>153682.5</v>
      </c>
      <c r="D36" s="911">
        <f>D11+(D17+D23-D30)-1</f>
        <v>-1033.25</v>
      </c>
      <c r="E36" s="911">
        <f t="shared" si="3"/>
        <v>-813.9299999999994</v>
      </c>
      <c r="F36" s="911">
        <f t="shared" si="3"/>
        <v>-17.88</v>
      </c>
      <c r="G36" s="911">
        <f>SUM(B36:F36)</f>
        <v>370628.93</v>
      </c>
    </row>
    <row r="37" spans="1:7" ht="15" customHeight="1">
      <c r="A37" s="910" t="s">
        <v>396</v>
      </c>
      <c r="B37" s="911">
        <f t="shared" si="3"/>
        <v>3575.38</v>
      </c>
      <c r="C37" s="911">
        <f t="shared" si="3"/>
        <v>0</v>
      </c>
      <c r="D37" s="911">
        <f t="shared" si="3"/>
        <v>0</v>
      </c>
      <c r="E37" s="911">
        <f t="shared" si="3"/>
        <v>0</v>
      </c>
      <c r="F37" s="911">
        <f t="shared" si="3"/>
        <v>0</v>
      </c>
      <c r="G37" s="911">
        <f>SUM(B37:F37)</f>
        <v>3575.38</v>
      </c>
    </row>
    <row r="38" spans="1:8" ht="15" customHeight="1" thickBot="1">
      <c r="A38" s="455" t="s">
        <v>382</v>
      </c>
      <c r="B38" s="923">
        <f>SUM(B35:B37)-1</f>
        <v>1542426.9199999997</v>
      </c>
      <c r="C38" s="923">
        <f>SUM(C35:C37)</f>
        <v>1126423.5099999998</v>
      </c>
      <c r="D38" s="923">
        <f>SUM(D35:D37)+1</f>
        <v>-34180.70999999996</v>
      </c>
      <c r="E38" s="923">
        <f>SUM(E35:E37)</f>
        <v>46510.04999999998</v>
      </c>
      <c r="F38" s="923">
        <f>SUM(F35:F37)</f>
        <v>-27575.18</v>
      </c>
      <c r="G38" s="923">
        <f>SUM(G35:G37)-1</f>
        <v>2653604.59</v>
      </c>
      <c r="H38" s="825"/>
    </row>
    <row r="39" spans="1:8" ht="15" customHeight="1" thickTop="1">
      <c r="A39" s="371"/>
      <c r="B39" s="917"/>
      <c r="C39" s="917"/>
      <c r="D39" s="917"/>
      <c r="G39" s="924"/>
      <c r="H39" s="919"/>
    </row>
    <row r="40" spans="1:7" s="805" customFormat="1" ht="15" customHeight="1">
      <c r="A40" s="805" t="s">
        <v>465</v>
      </c>
      <c r="B40" s="806"/>
      <c r="C40" s="806"/>
      <c r="D40" s="806"/>
      <c r="E40" s="807"/>
      <c r="F40" s="807"/>
      <c r="G40" s="807"/>
    </row>
    <row r="41" spans="2:4" ht="15" customHeight="1">
      <c r="B41" s="908"/>
      <c r="C41" s="908"/>
      <c r="D41" s="908"/>
    </row>
    <row r="42" spans="2:4" ht="15" customHeight="1">
      <c r="B42" s="908"/>
      <c r="C42" s="908"/>
      <c r="D42" s="908"/>
    </row>
    <row r="43" spans="2:4" ht="15" customHeight="1">
      <c r="B43" s="908"/>
      <c r="C43" s="908"/>
      <c r="D43" s="908"/>
    </row>
    <row r="44" spans="2:4" ht="15" customHeight="1">
      <c r="B44" s="908"/>
      <c r="C44" s="908"/>
      <c r="D44" s="908"/>
    </row>
    <row r="45" spans="2:4" ht="15" customHeight="1">
      <c r="B45" s="908"/>
      <c r="C45" s="908"/>
      <c r="D45" s="908"/>
    </row>
    <row r="46" spans="2:4" ht="15" customHeight="1">
      <c r="B46" s="908"/>
      <c r="C46" s="908"/>
      <c r="D46" s="908"/>
    </row>
    <row r="47" spans="2:4" ht="15" customHeight="1">
      <c r="B47" s="908"/>
      <c r="C47" s="908"/>
      <c r="D47" s="908"/>
    </row>
    <row r="48" spans="2:4" ht="15" customHeight="1">
      <c r="B48" s="908"/>
      <c r="C48" s="908"/>
      <c r="D48" s="908"/>
    </row>
    <row r="49" spans="2:4" ht="15" customHeight="1">
      <c r="B49" s="908"/>
      <c r="C49" s="908"/>
      <c r="D49" s="908"/>
    </row>
    <row r="50" spans="2:4" ht="15" customHeight="1">
      <c r="B50" s="908"/>
      <c r="C50" s="908"/>
      <c r="D50" s="908"/>
    </row>
    <row r="51" spans="2:4" ht="15" customHeight="1">
      <c r="B51" s="908"/>
      <c r="C51" s="908"/>
      <c r="D51" s="908"/>
    </row>
    <row r="52" spans="2:4" ht="15" customHeight="1">
      <c r="B52" s="908"/>
      <c r="C52" s="908"/>
      <c r="D52" s="908"/>
    </row>
    <row r="53" spans="2:4" ht="15" customHeight="1">
      <c r="B53" s="908"/>
      <c r="C53" s="908"/>
      <c r="D53" s="908"/>
    </row>
    <row r="54" spans="2:4" ht="15" customHeight="1">
      <c r="B54" s="908"/>
      <c r="C54" s="908"/>
      <c r="D54" s="908"/>
    </row>
    <row r="55" spans="2:4" ht="15" customHeight="1">
      <c r="B55" s="908"/>
      <c r="C55" s="908"/>
      <c r="D55" s="908"/>
    </row>
  </sheetData>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J40"/>
  <sheetViews>
    <sheetView zoomScale="75" zoomScaleNormal="75" workbookViewId="0" topLeftCell="A1">
      <selection activeCell="A19" sqref="A19"/>
    </sheetView>
  </sheetViews>
  <sheetFormatPr defaultColWidth="9.140625" defaultRowHeight="15" customHeight="1"/>
  <cols>
    <col min="1" max="1" width="45.7109375" style="340" customWidth="1"/>
    <col min="2" max="2" width="17.421875" style="583" customWidth="1"/>
    <col min="3" max="3" width="17.8515625" style="583" customWidth="1"/>
    <col min="4" max="4" width="17.7109375" style="583" customWidth="1"/>
    <col min="5" max="5" width="18.28125" style="584" customWidth="1"/>
    <col min="6" max="6" width="18.8515625" style="584" customWidth="1"/>
    <col min="7" max="7" width="20.7109375" style="584" customWidth="1"/>
    <col min="8" max="16384" width="15.7109375" style="340" customWidth="1"/>
  </cols>
  <sheetData>
    <row r="1" spans="1:7" s="365" customFormat="1" ht="30" customHeight="1">
      <c r="A1" s="898" t="s">
        <v>254</v>
      </c>
      <c r="B1" s="577"/>
      <c r="C1" s="577"/>
      <c r="D1" s="577"/>
      <c r="E1" s="578"/>
      <c r="F1" s="578"/>
      <c r="G1" s="579"/>
    </row>
    <row r="2" spans="1:7" s="166" customFormat="1" ht="15" customHeight="1">
      <c r="A2" s="887"/>
      <c r="B2" s="899"/>
      <c r="C2" s="899"/>
      <c r="D2" s="899"/>
      <c r="E2" s="900"/>
      <c r="F2" s="900"/>
      <c r="G2" s="899"/>
    </row>
    <row r="3" spans="1:7" s="166" customFormat="1" ht="15" customHeight="1">
      <c r="A3" s="901" t="s">
        <v>388</v>
      </c>
      <c r="B3" s="900"/>
      <c r="C3" s="900"/>
      <c r="D3" s="900"/>
      <c r="E3" s="902"/>
      <c r="F3" s="902"/>
      <c r="G3" s="899"/>
    </row>
    <row r="4" spans="1:7" s="166" customFormat="1" ht="15" customHeight="1">
      <c r="A4" s="901" t="s">
        <v>488</v>
      </c>
      <c r="B4" s="900"/>
      <c r="C4" s="900"/>
      <c r="D4" s="900"/>
      <c r="E4" s="902"/>
      <c r="F4" s="902"/>
      <c r="G4" s="899"/>
    </row>
    <row r="5" spans="1:7" s="366" customFormat="1" ht="15" customHeight="1">
      <c r="A5" s="453"/>
      <c r="B5" s="581"/>
      <c r="C5" s="581"/>
      <c r="D5" s="581"/>
      <c r="E5" s="580"/>
      <c r="F5" s="580"/>
      <c r="G5" s="582"/>
    </row>
    <row r="6" spans="1:7" ht="30" customHeight="1">
      <c r="A6" s="903" t="s">
        <v>80</v>
      </c>
      <c r="B6" s="904" t="s">
        <v>194</v>
      </c>
      <c r="C6" s="904" t="s">
        <v>42</v>
      </c>
      <c r="D6" s="904" t="s">
        <v>46</v>
      </c>
      <c r="E6" s="905" t="s">
        <v>143</v>
      </c>
      <c r="F6" s="905" t="s">
        <v>213</v>
      </c>
      <c r="G6" s="906" t="s">
        <v>255</v>
      </c>
    </row>
    <row r="7" spans="1:7" ht="15" customHeight="1">
      <c r="A7" s="907"/>
      <c r="B7" s="908"/>
      <c r="C7" s="908"/>
      <c r="D7" s="908"/>
      <c r="E7" s="908"/>
      <c r="F7" s="908"/>
      <c r="G7" s="908"/>
    </row>
    <row r="8" spans="1:7" ht="15" customHeight="1">
      <c r="A8" s="907" t="s">
        <v>389</v>
      </c>
      <c r="B8" s="908"/>
      <c r="C8" s="908"/>
      <c r="D8" s="908"/>
      <c r="E8" s="908"/>
      <c r="F8" s="908"/>
      <c r="G8" s="908"/>
    </row>
    <row r="9" spans="1:7" ht="15" customHeight="1">
      <c r="A9" s="907" t="s">
        <v>390</v>
      </c>
      <c r="B9" s="909"/>
      <c r="C9" s="909"/>
      <c r="D9" s="909"/>
      <c r="E9" s="909"/>
      <c r="F9" s="909"/>
      <c r="G9" s="909"/>
    </row>
    <row r="10" spans="1:7" ht="15" customHeight="1">
      <c r="A10" s="910" t="s">
        <v>391</v>
      </c>
      <c r="B10" s="479">
        <f>'[13]TRIAL BALANCE @ 10-26-04'!E264</f>
        <v>695781.54</v>
      </c>
      <c r="C10" s="479">
        <f>'[13]TRIAL BALANCE @ 10-26-04'!E260+'[13]TRIAL BALANCE @ 10-26-04'!E279</f>
        <v>5970954.16</v>
      </c>
      <c r="D10" s="479">
        <f>'[13]TRIAL BALANCE @ 10-26-04'!E257</f>
        <v>1693415.81</v>
      </c>
      <c r="E10" s="479">
        <f>'[13]TRIAL BALANCE @ 10-26-04'!E254+'[13]TRIAL BALANCE @ 10-26-04'!E275</f>
        <v>-5674.74</v>
      </c>
      <c r="F10" s="479">
        <f>'[13]TRIAL BALANCE @ 10-26-04'!$F$252+'[13]TRIAL BALANCE @ 10-26-04'!F271</f>
        <v>99284.84999999999</v>
      </c>
      <c r="G10" s="479">
        <f>SUM(B10:F10)</f>
        <v>8453761.62</v>
      </c>
    </row>
    <row r="11" spans="1:7" ht="15" customHeight="1">
      <c r="A11" s="910" t="s">
        <v>392</v>
      </c>
      <c r="B11" s="911">
        <f>'[13]TRIAL BALANCE @ 10-26-04'!E265</f>
        <v>202076.03</v>
      </c>
      <c r="C11" s="911">
        <f>'[13]TRIAL BALANCE @ 10-26-04'!E261+'[13]TRIAL BALANCE @ 10-26-04'!E280</f>
        <v>1283175.76</v>
      </c>
      <c r="D11" s="911">
        <f>'[13]TRIAL BALANCE @ 10-26-04'!E258+'[13]TRIAL BALANCE @ 10-26-04'!E277</f>
        <v>177016.34</v>
      </c>
      <c r="E11" s="911">
        <f>'[13]TRIAL BALANCE @ 10-26-04'!E255</f>
        <v>5752.89</v>
      </c>
      <c r="F11" s="911">
        <f>'[13]TRIAL BALANCE @ 10-26-04'!$E$273</f>
        <v>-56.64</v>
      </c>
      <c r="G11" s="911">
        <f>SUM(B11:F11)</f>
        <v>1667964.3800000001</v>
      </c>
    </row>
    <row r="12" spans="1:7" ht="15" customHeight="1">
      <c r="A12" s="910" t="s">
        <v>393</v>
      </c>
      <c r="B12" s="911">
        <v>0</v>
      </c>
      <c r="C12" s="911">
        <f>'[13]TRIAL BALANCE @ 10-26-04'!E262</f>
        <v>1229</v>
      </c>
      <c r="D12" s="911">
        <v>0</v>
      </c>
      <c r="E12" s="911">
        <v>0</v>
      </c>
      <c r="F12" s="911">
        <v>0</v>
      </c>
      <c r="G12" s="911">
        <f>SUM(B12:F12)</f>
        <v>1229</v>
      </c>
    </row>
    <row r="13" spans="1:7" ht="15" customHeight="1" thickBot="1">
      <c r="A13" s="455" t="s">
        <v>382</v>
      </c>
      <c r="B13" s="871">
        <f aca="true" t="shared" si="0" ref="B13:G13">SUM(B10:B12)</f>
        <v>897857.5700000001</v>
      </c>
      <c r="C13" s="871">
        <f t="shared" si="0"/>
        <v>7255358.92</v>
      </c>
      <c r="D13" s="871">
        <f>SUM(D10:D12)</f>
        <v>1870432.1500000001</v>
      </c>
      <c r="E13" s="912">
        <f t="shared" si="0"/>
        <v>78.15000000000055</v>
      </c>
      <c r="F13" s="912">
        <f>SUM(F10:F12)</f>
        <v>99228.20999999999</v>
      </c>
      <c r="G13" s="913">
        <f t="shared" si="0"/>
        <v>10122955</v>
      </c>
    </row>
    <row r="14" spans="1:7" ht="15" customHeight="1" thickTop="1">
      <c r="A14" s="910"/>
      <c r="B14" s="914"/>
      <c r="C14" s="914"/>
      <c r="D14" s="914"/>
      <c r="E14" s="911"/>
      <c r="F14" s="911"/>
      <c r="G14" s="911"/>
    </row>
    <row r="15" spans="1:7" ht="15" customHeight="1">
      <c r="A15" s="907" t="s">
        <v>491</v>
      </c>
      <c r="B15" s="914"/>
      <c r="C15" s="914"/>
      <c r="D15" s="914"/>
      <c r="E15" s="911"/>
      <c r="F15" s="911"/>
      <c r="G15" s="911"/>
    </row>
    <row r="16" spans="1:7" ht="15" customHeight="1">
      <c r="A16" s="910" t="s">
        <v>394</v>
      </c>
      <c r="B16" s="911">
        <f>-'[13]TRIAL BALANCE @ 10-26-04'!E62</f>
        <v>1442463.2</v>
      </c>
      <c r="C16" s="911">
        <f>-'[13]TRIAL BALANCE @ 10-26-04'!E59</f>
        <v>2391789.21</v>
      </c>
      <c r="D16" s="911">
        <f>-'[13]TRIAL BALANCE @ 10-26-04'!E56</f>
        <v>96842.08</v>
      </c>
      <c r="E16" s="911">
        <f>-'[13]TRIAL BALANCE @ 10-26-04'!E53</f>
        <v>85000</v>
      </c>
      <c r="F16" s="911">
        <f>-'[13]TRIAL BALANCE @ 10-26-04'!$F$51-1</f>
        <v>67036.82</v>
      </c>
      <c r="G16" s="911">
        <f>SUM(B16:F16)</f>
        <v>4083131.31</v>
      </c>
    </row>
    <row r="17" spans="1:7" ht="15" customHeight="1">
      <c r="A17" s="910" t="s">
        <v>395</v>
      </c>
      <c r="B17" s="911">
        <f>-'[13]TRIAL BALANCE @ 10-26-04'!E63</f>
        <v>207833</v>
      </c>
      <c r="C17" s="911">
        <f>-'[13]TRIAL BALANCE @ 10-26-04'!E60</f>
        <v>162474.91</v>
      </c>
      <c r="D17" s="911">
        <f>-'[13]TRIAL BALANCE @ 10-26-04'!E57</f>
        <v>9171.92</v>
      </c>
      <c r="E17" s="911">
        <f>-'[13]TRIAL BALANCE @ 10-26-04'!E54</f>
        <v>500</v>
      </c>
      <c r="F17" s="911">
        <v>0</v>
      </c>
      <c r="G17" s="911">
        <f>SUM(B17:F17)</f>
        <v>379979.83</v>
      </c>
    </row>
    <row r="18" spans="1:7" ht="15" customHeight="1">
      <c r="A18" s="910" t="s">
        <v>396</v>
      </c>
      <c r="B18" s="911">
        <f>-'[13]TRIAL BALANCE @ 10-26-04'!E64</f>
        <v>2500</v>
      </c>
      <c r="C18" s="911">
        <v>0</v>
      </c>
      <c r="D18" s="911">
        <v>0</v>
      </c>
      <c r="E18" s="911">
        <v>0</v>
      </c>
      <c r="F18" s="911">
        <v>0</v>
      </c>
      <c r="G18" s="911">
        <f>SUM(B18:F18)</f>
        <v>2500</v>
      </c>
    </row>
    <row r="19" spans="1:7" ht="15" customHeight="1" thickBot="1">
      <c r="A19" s="455" t="s">
        <v>382</v>
      </c>
      <c r="B19" s="871">
        <f aca="true" t="shared" si="1" ref="B19:G19">SUM(B16:B18)</f>
        <v>1652796.2</v>
      </c>
      <c r="C19" s="871">
        <f t="shared" si="1"/>
        <v>2554264.12</v>
      </c>
      <c r="D19" s="871">
        <f t="shared" si="1"/>
        <v>106014</v>
      </c>
      <c r="E19" s="912">
        <f t="shared" si="1"/>
        <v>85500</v>
      </c>
      <c r="F19" s="912">
        <f t="shared" si="1"/>
        <v>67036.82</v>
      </c>
      <c r="G19" s="913">
        <f t="shared" si="1"/>
        <v>4465611.14</v>
      </c>
    </row>
    <row r="20" spans="1:7" ht="15" customHeight="1" thickTop="1">
      <c r="A20" s="455"/>
      <c r="B20" s="867"/>
      <c r="C20" s="867"/>
      <c r="D20" s="867"/>
      <c r="E20" s="915"/>
      <c r="F20" s="915"/>
      <c r="G20" s="916"/>
    </row>
    <row r="21" spans="1:10" ht="15" customHeight="1">
      <c r="A21" s="907" t="s">
        <v>492</v>
      </c>
      <c r="B21" s="917"/>
      <c r="C21" s="917"/>
      <c r="D21" s="917"/>
      <c r="E21" s="917"/>
      <c r="F21" s="917"/>
      <c r="G21" s="918"/>
      <c r="H21" s="584"/>
      <c r="I21" s="584"/>
      <c r="J21" s="919"/>
    </row>
    <row r="22" spans="1:10" ht="15" customHeight="1">
      <c r="A22" s="910" t="s">
        <v>394</v>
      </c>
      <c r="B22" s="911">
        <f>-'[13]TRIAL BALANCE @ 10-26-04'!E80</f>
        <v>620480.62</v>
      </c>
      <c r="C22" s="911">
        <f>-'[13]TRIAL BALANCE @ 10-26-04'!E76</f>
        <v>1028836.55</v>
      </c>
      <c r="D22" s="911">
        <f>-'[13]TRIAL BALANCE @ 10-26-04'!E73</f>
        <v>41656.96</v>
      </c>
      <c r="E22" s="911">
        <f>-'[13]TRIAL BALANCE @ 10-26-04'!E70</f>
        <v>65399.61</v>
      </c>
      <c r="F22" s="911">
        <f>-'[13]TRIAL BALANCE @ 10-26-04'!$E$68</f>
        <v>0</v>
      </c>
      <c r="G22" s="911">
        <f>SUM(B22:F22)+1</f>
        <v>1756374.74</v>
      </c>
      <c r="H22" s="584"/>
      <c r="I22" s="584"/>
      <c r="J22" s="919"/>
    </row>
    <row r="23" spans="1:10" ht="15" customHeight="1">
      <c r="A23" s="910" t="s">
        <v>395</v>
      </c>
      <c r="B23" s="911">
        <f>-'[13]TRIAL BALANCE @ 10-26-04'!E81</f>
        <v>89400.1</v>
      </c>
      <c r="C23" s="911">
        <f>-'[13]TRIAL BALANCE @ 10-26-04'!E77</f>
        <v>69889.15</v>
      </c>
      <c r="D23" s="911">
        <f>-'[13]TRIAL BALANCE @ 10-26-04'!E74</f>
        <v>3945.33</v>
      </c>
      <c r="E23" s="911">
        <f>-'[13]TRIAL BALANCE @ 10-26-04'!E71</f>
        <v>215.08</v>
      </c>
      <c r="F23" s="911">
        <v>0</v>
      </c>
      <c r="G23" s="911">
        <f>SUM(B23:F23)-1</f>
        <v>163448.65999999997</v>
      </c>
      <c r="H23" s="584"/>
      <c r="I23" s="584"/>
      <c r="J23" s="919"/>
    </row>
    <row r="24" spans="1:10" ht="15" customHeight="1">
      <c r="A24" s="910" t="s">
        <v>396</v>
      </c>
      <c r="B24" s="911">
        <f>-'[13]TRIAL BALANCE @ 10-26-04'!E82</f>
        <v>1075.38</v>
      </c>
      <c r="C24" s="911">
        <v>0</v>
      </c>
      <c r="D24" s="911">
        <v>0</v>
      </c>
      <c r="E24" s="911">
        <v>0</v>
      </c>
      <c r="F24" s="911">
        <v>0</v>
      </c>
      <c r="G24" s="911">
        <f>SUM(B24:F24)</f>
        <v>1075.38</v>
      </c>
      <c r="H24" s="584"/>
      <c r="I24" s="584"/>
      <c r="J24" s="919"/>
    </row>
    <row r="25" spans="1:10" ht="15" customHeight="1" thickBot="1">
      <c r="A25" s="455" t="s">
        <v>382</v>
      </c>
      <c r="B25" s="871">
        <f aca="true" t="shared" si="2" ref="B25:G25">SUM(B22:B24)</f>
        <v>710956.1</v>
      </c>
      <c r="C25" s="871">
        <f t="shared" si="2"/>
        <v>1098725.7</v>
      </c>
      <c r="D25" s="871">
        <f t="shared" si="2"/>
        <v>45602.29</v>
      </c>
      <c r="E25" s="912">
        <f t="shared" si="2"/>
        <v>65614.69</v>
      </c>
      <c r="F25" s="912">
        <f t="shared" si="2"/>
        <v>0</v>
      </c>
      <c r="G25" s="913">
        <f t="shared" si="2"/>
        <v>1920898.7799999998</v>
      </c>
      <c r="H25" s="925"/>
      <c r="I25" s="584"/>
      <c r="J25" s="919"/>
    </row>
    <row r="26" spans="1:7" ht="15" customHeight="1" thickTop="1">
      <c r="A26" s="910"/>
      <c r="B26" s="914"/>
      <c r="C26" s="914"/>
      <c r="D26" s="914"/>
      <c r="E26" s="911"/>
      <c r="F26" s="911"/>
      <c r="G26" s="911"/>
    </row>
    <row r="27" spans="1:7" ht="15" customHeight="1">
      <c r="A27" s="907" t="s">
        <v>195</v>
      </c>
      <c r="B27" s="920"/>
      <c r="C27" s="920"/>
      <c r="D27" s="920"/>
      <c r="E27" s="911"/>
      <c r="F27" s="911"/>
      <c r="G27" s="911"/>
    </row>
    <row r="28" spans="1:7" ht="15" customHeight="1">
      <c r="A28" s="907" t="s">
        <v>464</v>
      </c>
      <c r="B28" s="920"/>
      <c r="C28" s="920"/>
      <c r="D28" s="920"/>
      <c r="E28" s="911"/>
      <c r="F28" s="911"/>
      <c r="G28" s="911"/>
    </row>
    <row r="29" spans="1:7" ht="15" customHeight="1">
      <c r="A29" s="910" t="s">
        <v>394</v>
      </c>
      <c r="B29" s="914">
        <f>'[14]Losses Incurred YTD-10'!B29</f>
        <v>0</v>
      </c>
      <c r="C29" s="914">
        <f>'[14]Losses Incurred YTD-10'!C29</f>
        <v>3855158.91</v>
      </c>
      <c r="D29" s="914">
        <f>'[14]Losses Incurred YTD-10'!D29</f>
        <v>1825586.84</v>
      </c>
      <c r="E29" s="911">
        <f>'[14]Losses Incurred YTD-10'!E29</f>
        <v>86017</v>
      </c>
      <c r="F29" s="911">
        <f>'[14]Losses Incurred YTD-10'!F29</f>
        <v>158729</v>
      </c>
      <c r="G29" s="911">
        <f>SUM(B29:F29)</f>
        <v>5925491.75</v>
      </c>
    </row>
    <row r="30" spans="1:7" ht="15" customHeight="1">
      <c r="A30" s="910" t="s">
        <v>395</v>
      </c>
      <c r="B30" s="914">
        <f>'[14]Losses Incurred YTD-10'!B30</f>
        <v>0</v>
      </c>
      <c r="C30" s="914">
        <f>'[14]Losses Incurred YTD-10'!C30</f>
        <v>1125651.02</v>
      </c>
      <c r="D30" s="914">
        <f>'[14]Losses Incurred YTD-10'!D30</f>
        <v>152921.92</v>
      </c>
      <c r="E30" s="911">
        <f>'[14]Losses Incurred YTD-10'!E30</f>
        <v>8514</v>
      </c>
      <c r="F30" s="911">
        <f>'[14]Losses Incurred YTD-10'!F30</f>
        <v>0</v>
      </c>
      <c r="G30" s="911">
        <f>SUM(B30:F30)</f>
        <v>1287086.94</v>
      </c>
    </row>
    <row r="31" spans="1:7" ht="15" customHeight="1">
      <c r="A31" s="910" t="s">
        <v>396</v>
      </c>
      <c r="B31" s="914">
        <f>'[14]Losses Incurred YTD-10'!B31</f>
        <v>0</v>
      </c>
      <c r="C31" s="914">
        <f>'[14]Losses Incurred YTD-10'!C31</f>
        <v>27967.07</v>
      </c>
      <c r="D31" s="914">
        <f>'[14]Losses Incurred YTD-10'!D31</f>
        <v>0</v>
      </c>
      <c r="E31" s="911">
        <f>'[14]Losses Incurred YTD-10'!E31</f>
        <v>0</v>
      </c>
      <c r="F31" s="911">
        <f>'[14]Losses Incurred YTD-10'!F31</f>
        <v>0</v>
      </c>
      <c r="G31" s="911">
        <f>SUM(B31:F31)</f>
        <v>27967.07</v>
      </c>
    </row>
    <row r="32" spans="1:7" ht="15" customHeight="1" thickBot="1">
      <c r="A32" s="455" t="s">
        <v>382</v>
      </c>
      <c r="B32" s="871">
        <f aca="true" t="shared" si="3" ref="B32:G32">SUM(B29:B31)</f>
        <v>0</v>
      </c>
      <c r="C32" s="871">
        <f t="shared" si="3"/>
        <v>5008777</v>
      </c>
      <c r="D32" s="871">
        <f t="shared" si="3"/>
        <v>1978508.76</v>
      </c>
      <c r="E32" s="912">
        <f t="shared" si="3"/>
        <v>94531</v>
      </c>
      <c r="F32" s="912">
        <f t="shared" si="3"/>
        <v>158729</v>
      </c>
      <c r="G32" s="913">
        <f t="shared" si="3"/>
        <v>7240545.76</v>
      </c>
    </row>
    <row r="33" spans="1:7" s="922" customFormat="1" ht="15" customHeight="1" thickTop="1">
      <c r="A33" s="921"/>
      <c r="B33" s="920"/>
      <c r="C33" s="920"/>
      <c r="D33" s="920"/>
      <c r="E33" s="920"/>
      <c r="F33" s="920"/>
      <c r="G33" s="920"/>
    </row>
    <row r="34" spans="1:7" ht="15" customHeight="1">
      <c r="A34" s="907" t="s">
        <v>397</v>
      </c>
      <c r="B34" s="914"/>
      <c r="C34" s="914"/>
      <c r="D34" s="914"/>
      <c r="E34" s="911"/>
      <c r="F34" s="911"/>
      <c r="G34" s="911"/>
    </row>
    <row r="35" spans="1:7" ht="15" customHeight="1">
      <c r="A35" s="910" t="s">
        <v>394</v>
      </c>
      <c r="B35" s="911">
        <f>B10+(B16+B22-B29)+1</f>
        <v>2758726.36</v>
      </c>
      <c r="C35" s="911">
        <f aca="true" t="shared" si="4" ref="B35:F37">C10+(C16+C22-C29)</f>
        <v>5536421.01</v>
      </c>
      <c r="D35" s="911">
        <f t="shared" si="4"/>
        <v>6328.010000000009</v>
      </c>
      <c r="E35" s="911">
        <f t="shared" si="4"/>
        <v>58707.86999999999</v>
      </c>
      <c r="F35" s="911">
        <f t="shared" si="4"/>
        <v>7592.669999999998</v>
      </c>
      <c r="G35" s="911">
        <f>SUM(B35:F35)</f>
        <v>8367775.919999999</v>
      </c>
    </row>
    <row r="36" spans="1:7" ht="15" customHeight="1">
      <c r="A36" s="910" t="s">
        <v>395</v>
      </c>
      <c r="B36" s="911">
        <f t="shared" si="4"/>
        <v>499309.13</v>
      </c>
      <c r="C36" s="911">
        <f t="shared" si="4"/>
        <v>389888.80000000005</v>
      </c>
      <c r="D36" s="911">
        <f>D11+(D17+D23-D30)-1</f>
        <v>37210.669999999984</v>
      </c>
      <c r="E36" s="911">
        <f t="shared" si="4"/>
        <v>-2046.0299999999997</v>
      </c>
      <c r="F36" s="911">
        <f t="shared" si="4"/>
        <v>-56.64</v>
      </c>
      <c r="G36" s="911">
        <f>SUM(B36:F36)</f>
        <v>924305.93</v>
      </c>
    </row>
    <row r="37" spans="1:7" ht="15" customHeight="1">
      <c r="A37" s="910" t="s">
        <v>396</v>
      </c>
      <c r="B37" s="911">
        <f t="shared" si="4"/>
        <v>3575.38</v>
      </c>
      <c r="C37" s="911">
        <f t="shared" si="4"/>
        <v>-26738.07</v>
      </c>
      <c r="D37" s="911">
        <f t="shared" si="4"/>
        <v>0</v>
      </c>
      <c r="E37" s="911">
        <f t="shared" si="4"/>
        <v>0</v>
      </c>
      <c r="F37" s="911">
        <f t="shared" si="4"/>
        <v>0</v>
      </c>
      <c r="G37" s="911">
        <f>SUM(B37:F37)</f>
        <v>-23162.69</v>
      </c>
    </row>
    <row r="38" spans="1:7" ht="15" customHeight="1" thickBot="1">
      <c r="A38" s="455" t="s">
        <v>382</v>
      </c>
      <c r="B38" s="923">
        <f>SUM(B35:B37)-1</f>
        <v>3261609.8699999996</v>
      </c>
      <c r="C38" s="923">
        <f>SUM(C35:C37)</f>
        <v>5899571.739999999</v>
      </c>
      <c r="D38" s="923">
        <f>SUM(D35:D37)</f>
        <v>43538.67999999999</v>
      </c>
      <c r="E38" s="923">
        <f>SUM(E35:E37)</f>
        <v>56661.83999999999</v>
      </c>
      <c r="F38" s="923">
        <f>SUM(F35:F37)</f>
        <v>7536.029999999998</v>
      </c>
      <c r="G38" s="923">
        <f>SUM(G35:G37)</f>
        <v>9268919.16</v>
      </c>
    </row>
    <row r="39" spans="1:7" ht="15" customHeight="1" thickTop="1">
      <c r="A39" s="371"/>
      <c r="B39" s="917"/>
      <c r="C39" s="917"/>
      <c r="D39" s="917"/>
      <c r="G39" s="924"/>
    </row>
    <row r="40" spans="1:7" s="805" customFormat="1" ht="15" customHeight="1">
      <c r="A40" s="805" t="s">
        <v>465</v>
      </c>
      <c r="B40" s="806"/>
      <c r="C40" s="806"/>
      <c r="D40" s="806"/>
      <c r="E40" s="807"/>
      <c r="F40" s="807"/>
      <c r="G40" s="807"/>
    </row>
  </sheetData>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H13" sqref="H13"/>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92"/>
      <c r="B2" s="326"/>
      <c r="C2" s="326"/>
      <c r="D2" s="326"/>
      <c r="E2" s="326"/>
      <c r="F2" s="326"/>
      <c r="G2" s="337"/>
    </row>
    <row r="3" spans="1:8" s="45" customFormat="1" ht="15" customHeight="1">
      <c r="A3" s="652" t="s">
        <v>399</v>
      </c>
      <c r="B3" s="926"/>
      <c r="C3" s="926"/>
      <c r="D3" s="926"/>
      <c r="E3" s="927"/>
      <c r="F3" s="927"/>
      <c r="G3" s="928"/>
      <c r="H3" s="789"/>
    </row>
    <row r="4" spans="1:8" s="45" customFormat="1" ht="15" customHeight="1">
      <c r="A4" s="652" t="s">
        <v>400</v>
      </c>
      <c r="B4" s="926"/>
      <c r="C4" s="926"/>
      <c r="D4" s="926"/>
      <c r="E4" s="927"/>
      <c r="F4" s="927"/>
      <c r="G4" s="928"/>
      <c r="H4" s="789"/>
    </row>
    <row r="5" spans="1:8" s="45" customFormat="1" ht="15" customHeight="1">
      <c r="A5" s="380" t="s">
        <v>486</v>
      </c>
      <c r="B5" s="926"/>
      <c r="C5" s="926"/>
      <c r="D5" s="926"/>
      <c r="E5" s="927"/>
      <c r="F5" s="927"/>
      <c r="G5" s="928"/>
      <c r="H5" s="789"/>
    </row>
    <row r="6" spans="1:7" ht="15" customHeight="1">
      <c r="A6" s="17"/>
      <c r="E6" s="337"/>
      <c r="F6" s="337"/>
      <c r="G6" s="337"/>
    </row>
    <row r="7" spans="1:7" ht="30" customHeight="1">
      <c r="A7" s="47"/>
      <c r="B7" s="310" t="s">
        <v>194</v>
      </c>
      <c r="C7" s="310" t="s">
        <v>42</v>
      </c>
      <c r="D7" s="310" t="s">
        <v>46</v>
      </c>
      <c r="E7" s="929" t="s">
        <v>143</v>
      </c>
      <c r="F7" s="929" t="s">
        <v>213</v>
      </c>
      <c r="G7" s="930" t="s">
        <v>255</v>
      </c>
    </row>
    <row r="8" spans="1:7" ht="30" customHeight="1">
      <c r="A8" s="931" t="s">
        <v>478</v>
      </c>
      <c r="B8" s="311"/>
      <c r="C8" s="311"/>
      <c r="D8" s="311"/>
      <c r="G8" s="932"/>
    </row>
    <row r="9" spans="1:38" ht="15" customHeight="1">
      <c r="A9" s="18" t="s">
        <v>379</v>
      </c>
      <c r="B9" s="933">
        <f>'[13]TRIAL BALANCE @ 10-26-04'!C355+'[13]TRIAL BALANCE @ 10-26-04'!C372</f>
        <v>54406.850000000006</v>
      </c>
      <c r="C9" s="933">
        <f>'[13]TRIAL BALANCE @ 10-26-04'!C351+'[13]TRIAL BALANCE @ 10-26-04'!C368</f>
        <v>151140.02000000002</v>
      </c>
      <c r="D9" s="933">
        <f>'[13]TRIAL BALANCE @ 10-26-04'!C348+'[13]TRIAL BALANCE @ 10-26-04'!C365</f>
        <v>21010.73</v>
      </c>
      <c r="E9" s="942">
        <f>'[13]TRIAL BALANCE @ 10-26-04'!C345+'[13]TRIAL BALANCE @ 10-26-04'!C362</f>
        <v>0</v>
      </c>
      <c r="F9" s="933">
        <f>'[13]TRIAL BALANCE @ 10-26-04'!$D$343+'[13]TRIAL BALANCE @ 10-26-04'!C360</f>
        <v>7738.360000000001</v>
      </c>
      <c r="G9" s="933">
        <f>SUM(B9:F9)</f>
        <v>234295.96000000002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'[13]TRIAL BALANCE @ 10-26-04'!C356+'[13]TRIAL BALANCE @ 10-26-04'!C373</f>
        <v>72837.75</v>
      </c>
      <c r="C10" s="122">
        <f>'[13]TRIAL BALANCE @ 10-26-04'!C352+'[13]TRIAL BALANCE @ 10-26-04'!C369</f>
        <v>84430.03</v>
      </c>
      <c r="D10" s="122">
        <f>'[13]TRIAL BALANCE @ 10-26-04'!C349+'[13]TRIAL BALANCE @ 10-26-04'!C366</f>
        <v>2277.74</v>
      </c>
      <c r="E10" s="122">
        <f>'[13]TRIAL BALANCE @ 10-26-04'!C346+'[13]TRIAL BALANCE @ 10-26-04'!C363</f>
        <v>377.78999999999996</v>
      </c>
      <c r="F10" s="122">
        <v>0</v>
      </c>
      <c r="G10" s="122">
        <f>SUM(B10:F10)+1</f>
        <v>159924.31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v>0</v>
      </c>
      <c r="C11" s="122">
        <f>'[13]TRIAL BALANCE @ 10-26-04'!C353+'[13]TRIAL BALANCE @ 10-26-04'!C370</f>
        <v>0</v>
      </c>
      <c r="D11" s="122">
        <v>0</v>
      </c>
      <c r="E11" s="122">
        <v>0</v>
      </c>
      <c r="F11" s="122">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4" t="s">
        <v>382</v>
      </c>
      <c r="B12" s="332">
        <f aca="true" t="shared" si="0" ref="B12:G12">SUM(B9:B11)</f>
        <v>127244.6</v>
      </c>
      <c r="C12" s="332">
        <f t="shared" si="0"/>
        <v>235570.05000000002</v>
      </c>
      <c r="D12" s="332">
        <f>SUM(D9:D11)+1</f>
        <v>23289.47</v>
      </c>
      <c r="E12" s="332">
        <f>SUM(E9:E11)</f>
        <v>377.78999999999996</v>
      </c>
      <c r="F12" s="332">
        <f t="shared" si="0"/>
        <v>7738.360000000001</v>
      </c>
      <c r="G12" s="129">
        <f t="shared" si="0"/>
        <v>394220.27</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5" t="s">
        <v>494</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'Loss Expenses YTD-12'!B15</f>
        <v>437330.94</v>
      </c>
      <c r="C15" s="126">
        <f>'Loss Expenses YTD-12'!C15</f>
        <v>112603.81999999999</v>
      </c>
      <c r="D15" s="126">
        <f>'Loss Expenses YTD-12'!D15</f>
        <v>38071.43</v>
      </c>
      <c r="E15" s="122">
        <f>'Loss Expenses YTD-12'!E15</f>
        <v>10909.05</v>
      </c>
      <c r="F15" s="122">
        <f>'Loss Expenses YTD-12'!F15</f>
        <v>6091.65</v>
      </c>
      <c r="G15" s="122">
        <f>SUM(B15:F15)</f>
        <v>605006.8900000001</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'Loss Expenses YTD-12'!B16</f>
        <v>63011.520000000004</v>
      </c>
      <c r="C16" s="126">
        <f>'Loss Expenses YTD-12'!C16</f>
        <v>7649.21</v>
      </c>
      <c r="D16" s="126">
        <f>'Loss Expenses YTD-12'!D16</f>
        <v>3605.75</v>
      </c>
      <c r="E16" s="122">
        <f>'Loss Expenses YTD-12'!E16</f>
        <v>64.18</v>
      </c>
      <c r="F16" s="122">
        <f>'Loss Expenses YTD-12'!F16</f>
        <v>0</v>
      </c>
      <c r="G16" s="122">
        <f>SUM(B16:F16)</f>
        <v>74330.66</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6">
        <f>'Loss Expenses YTD-12'!B17</f>
        <v>757.96</v>
      </c>
      <c r="C17" s="126">
        <f>'Loss Expenses YTD-12'!C17</f>
        <v>0</v>
      </c>
      <c r="D17" s="936">
        <f>'Loss Expenses YTD-12'!D17</f>
        <v>0</v>
      </c>
      <c r="E17" s="122">
        <f>'Loss Expenses YTD-12'!E17</f>
        <v>0</v>
      </c>
      <c r="F17" s="122">
        <f>'Loss Expenses YTD-12'!F17</f>
        <v>0</v>
      </c>
      <c r="G17" s="122">
        <f>SUM(B17:F17)</f>
        <v>757.96</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4" t="s">
        <v>382</v>
      </c>
      <c r="B18" s="138">
        <f>SUM(B15:B17)+1</f>
        <v>501101.42000000004</v>
      </c>
      <c r="C18" s="138">
        <f>SUM(C15:C17)</f>
        <v>120253.03</v>
      </c>
      <c r="D18" s="138">
        <f>SUM(D15:D17)</f>
        <v>41677.18</v>
      </c>
      <c r="E18" s="332">
        <f>SUM(E15:E17)</f>
        <v>10973.23</v>
      </c>
      <c r="F18" s="332">
        <f>SUM(F15:F17)</f>
        <v>6091.65</v>
      </c>
      <c r="G18" s="129">
        <f>SUM(G15:G17)</f>
        <v>680095.5100000001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37"/>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5" t="s">
        <v>495</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f>'[14]Loss Expenses YTD-12'!B15</f>
        <v>359874.55</v>
      </c>
      <c r="C21" s="126">
        <f>'[14]Loss Expenses YTD-12'!C15</f>
        <v>114761.23000000001</v>
      </c>
      <c r="D21" s="126">
        <f>'[14]Loss Expenses YTD-12'!D15</f>
        <v>60800.100000000006</v>
      </c>
      <c r="E21" s="122">
        <f>'[14]Loss Expenses YTD-12'!E15</f>
        <v>14602.89</v>
      </c>
      <c r="F21" s="122">
        <f>'[14]Loss Expenses YTD-12'!F15</f>
        <v>10878.09</v>
      </c>
      <c r="G21" s="122">
        <f>SUM(B21:F21)</f>
        <v>560916.86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f>'[14]Loss Expenses YTD-12'!B16</f>
        <v>61999.19</v>
      </c>
      <c r="C22" s="126">
        <f>'[14]Loss Expenses YTD-12'!C16</f>
        <v>9342.59</v>
      </c>
      <c r="D22" s="126">
        <f>'[14]Loss Expenses YTD-12'!D16</f>
        <v>2167.29</v>
      </c>
      <c r="E22" s="122">
        <f>'[14]Loss Expenses YTD-12'!E16</f>
        <v>1031.6399999999999</v>
      </c>
      <c r="F22" s="122">
        <f>'[14]Loss Expenses YTD-12'!F16</f>
        <v>0</v>
      </c>
      <c r="G22" s="122">
        <f>SUM(B22:F22)</f>
        <v>74540.70999999999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f>'[14]Loss Expenses YTD-12'!B17</f>
        <v>0</v>
      </c>
      <c r="C23" s="126">
        <f>'[14]Loss Expenses YTD-12'!C17</f>
        <v>0</v>
      </c>
      <c r="D23" s="126">
        <f>'[14]Loss Expenses YTD-12'!D17</f>
        <v>0</v>
      </c>
      <c r="E23" s="122">
        <f>'[14]Loss Expenses YTD-12'!E17</f>
        <v>0</v>
      </c>
      <c r="F23" s="122">
        <f>'[14]Loss Expenses YTD-12'!F17</f>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4" t="s">
        <v>382</v>
      </c>
      <c r="B24" s="138">
        <f aca="true" t="shared" si="1" ref="B24:G24">SUM(B21:B23)</f>
        <v>421873.74</v>
      </c>
      <c r="C24" s="138">
        <f t="shared" si="1"/>
        <v>124103.82</v>
      </c>
      <c r="D24" s="138">
        <f t="shared" si="1"/>
        <v>62967.39000000001</v>
      </c>
      <c r="E24" s="332">
        <f>SUM(E21:E23)</f>
        <v>15634.529999999999</v>
      </c>
      <c r="F24" s="332">
        <f t="shared" si="1"/>
        <v>10878.09</v>
      </c>
      <c r="G24" s="129">
        <f t="shared" si="1"/>
        <v>635457.57</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38"/>
      <c r="J25" s="938"/>
      <c r="K25" s="938"/>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row>
    <row r="26" spans="1:38" s="23" customFormat="1" ht="30" customHeight="1">
      <c r="A26" s="935"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 aca="true" t="shared" si="2" ref="B27:F29">B9+B15-B21</f>
        <v>131863.24000000005</v>
      </c>
      <c r="C27" s="122">
        <f t="shared" si="2"/>
        <v>148982.61000000002</v>
      </c>
      <c r="D27" s="122">
        <f t="shared" si="2"/>
        <v>-1717.9400000000023</v>
      </c>
      <c r="E27" s="122">
        <f t="shared" si="2"/>
        <v>-3693.84</v>
      </c>
      <c r="F27" s="122">
        <f t="shared" si="2"/>
        <v>2951.92</v>
      </c>
      <c r="G27" s="122">
        <f>SUM(B27:F27)</f>
        <v>278385.99000000005</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B10+B16-B22+1</f>
        <v>73851.08000000002</v>
      </c>
      <c r="C28" s="122">
        <f>C10+C16-C22-1</f>
        <v>82735.65000000001</v>
      </c>
      <c r="D28" s="122">
        <f>D10+D16-D22+1</f>
        <v>3717.2</v>
      </c>
      <c r="E28" s="122">
        <f t="shared" si="2"/>
        <v>-589.6699999999998</v>
      </c>
      <c r="F28" s="122">
        <f t="shared" si="2"/>
        <v>0</v>
      </c>
      <c r="G28" s="122">
        <f>SUM(B28:F28)</f>
        <v>159714.26000000004</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 t="shared" si="2"/>
        <v>757.96</v>
      </c>
      <c r="C29" s="122">
        <f t="shared" si="2"/>
        <v>0</v>
      </c>
      <c r="D29" s="122">
        <f t="shared" si="2"/>
        <v>0</v>
      </c>
      <c r="E29" s="122">
        <f t="shared" si="2"/>
        <v>0</v>
      </c>
      <c r="F29" s="122">
        <f t="shared" si="2"/>
        <v>0</v>
      </c>
      <c r="G29" s="122">
        <f>SUM(B29:F29)</f>
        <v>757.96</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5">
        <f aca="true" t="shared" si="3" ref="B30:G30">SUM(B27:B29)</f>
        <v>206472.28000000006</v>
      </c>
      <c r="C30" s="345">
        <f>SUM(C27:C29)+1</f>
        <v>231719.26</v>
      </c>
      <c r="D30" s="345">
        <f t="shared" si="3"/>
        <v>1999.2599999999975</v>
      </c>
      <c r="E30" s="345">
        <f>SUM(E27:E29)</f>
        <v>-4283.51</v>
      </c>
      <c r="F30" s="345">
        <f t="shared" si="3"/>
        <v>2951.92</v>
      </c>
      <c r="G30" s="345">
        <f t="shared" si="3"/>
        <v>438858.21000000014</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39"/>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8" sqref="A18"/>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92"/>
      <c r="B2" s="326"/>
      <c r="C2" s="326"/>
      <c r="D2" s="326"/>
      <c r="E2" s="326"/>
      <c r="F2" s="326"/>
      <c r="G2" s="337"/>
    </row>
    <row r="3" spans="1:8" s="45" customFormat="1" ht="15" customHeight="1">
      <c r="A3" s="652" t="s">
        <v>399</v>
      </c>
      <c r="B3" s="926"/>
      <c r="C3" s="926"/>
      <c r="D3" s="926"/>
      <c r="E3" s="927"/>
      <c r="F3" s="927"/>
      <c r="G3" s="928"/>
      <c r="H3" s="789"/>
    </row>
    <row r="4" spans="1:8" s="45" customFormat="1" ht="15" customHeight="1">
      <c r="A4" s="652" t="s">
        <v>400</v>
      </c>
      <c r="B4" s="926"/>
      <c r="C4" s="926"/>
      <c r="D4" s="926"/>
      <c r="E4" s="927"/>
      <c r="F4" s="927"/>
      <c r="G4" s="928"/>
      <c r="H4" s="789"/>
    </row>
    <row r="5" spans="1:8" s="45" customFormat="1" ht="15" customHeight="1">
      <c r="A5" s="380" t="s">
        <v>488</v>
      </c>
      <c r="B5" s="926"/>
      <c r="C5" s="926"/>
      <c r="D5" s="926"/>
      <c r="E5" s="927"/>
      <c r="F5" s="927"/>
      <c r="G5" s="928"/>
      <c r="H5" s="789"/>
    </row>
    <row r="6" spans="1:7" ht="15" customHeight="1">
      <c r="A6" s="17"/>
      <c r="E6" s="337"/>
      <c r="F6" s="337"/>
      <c r="G6" s="337"/>
    </row>
    <row r="7" spans="1:7" ht="30" customHeight="1">
      <c r="A7" s="47"/>
      <c r="B7" s="310" t="s">
        <v>194</v>
      </c>
      <c r="C7" s="310" t="s">
        <v>42</v>
      </c>
      <c r="D7" s="310" t="s">
        <v>46</v>
      </c>
      <c r="E7" s="929" t="s">
        <v>143</v>
      </c>
      <c r="F7" s="929" t="s">
        <v>213</v>
      </c>
      <c r="G7" s="930" t="s">
        <v>255</v>
      </c>
    </row>
    <row r="8" spans="1:7" ht="30" customHeight="1">
      <c r="A8" s="931" t="s">
        <v>480</v>
      </c>
      <c r="B8" s="311"/>
      <c r="C8" s="311"/>
      <c r="D8" s="311"/>
      <c r="G8" s="932"/>
    </row>
    <row r="9" spans="1:38" ht="15" customHeight="1">
      <c r="A9" s="18" t="s">
        <v>379</v>
      </c>
      <c r="B9" s="933">
        <f>'[13]TRIAL BALANCE @ 10-26-04'!E355+'[13]TRIAL BALANCE @ 10-26-04'!E372</f>
        <v>68400.41</v>
      </c>
      <c r="C9" s="933">
        <f>'[13]TRIAL BALANCE @ 10-26-04'!E351+'[13]TRIAL BALANCE @ 10-26-04'!E368</f>
        <v>524104.82999999996</v>
      </c>
      <c r="D9" s="933">
        <f>'[13]TRIAL BALANCE @ 10-26-04'!E348+'[13]TRIAL BALANCE @ 10-26-04'!E365</f>
        <v>134005.1</v>
      </c>
      <c r="E9" s="933">
        <f>'[13]TRIAL BALANCE @ 10-26-04'!E345+'[13]TRIAL BALANCE @ 10-26-04'!E362</f>
        <v>1835.18</v>
      </c>
      <c r="F9" s="933">
        <f>'[13]TRIAL BALANCE @ 10-26-04'!F343+'[13]TRIAL BALANCE @ 10-26-04'!F360</f>
        <v>14448.640000000001</v>
      </c>
      <c r="G9" s="933">
        <f>SUM(B9:F9)</f>
        <v>742794.16</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'[13]TRIAL BALANCE @ 10-26-04'!E356+'[13]TRIAL BALANCE @ 10-26-04'!E373</f>
        <v>97353.26</v>
      </c>
      <c r="C10" s="122">
        <f>'[13]TRIAL BALANCE @ 10-26-04'!E352+'[13]TRIAL BALANCE @ 10-26-04'!E369</f>
        <v>342179.73</v>
      </c>
      <c r="D10" s="122">
        <f>'[13]TRIAL BALANCE @ 10-26-04'!E349+'[13]TRIAL BALANCE @ 10-26-04'!E366</f>
        <v>56001.62</v>
      </c>
      <c r="E10" s="122">
        <f>'[13]TRIAL BALANCE @ 10-26-04'!E346+'[13]TRIAL BALANCE @ 10-26-04'!E363</f>
        <v>1413.1299999999999</v>
      </c>
      <c r="F10" s="122">
        <v>0</v>
      </c>
      <c r="G10" s="122">
        <f>SUM(B10:F10)</f>
        <v>496947.74</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v>0</v>
      </c>
      <c r="C11" s="122">
        <f>'[13]TRIAL BALANCE @ 10-26-04'!E353+'[13]TRIAL BALANCE @ 10-26-04'!E370</f>
        <v>6301.620000000001</v>
      </c>
      <c r="D11" s="122">
        <v>0</v>
      </c>
      <c r="E11" s="122">
        <v>0</v>
      </c>
      <c r="F11" s="122">
        <v>0</v>
      </c>
      <c r="G11" s="122">
        <f>SUM(B11:F11)</f>
        <v>6301.620000000001</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34" t="s">
        <v>382</v>
      </c>
      <c r="B12" s="332">
        <f>SUM(B9:B11)-1</f>
        <v>165752.66999999998</v>
      </c>
      <c r="C12" s="332">
        <f>SUM(C9:C11)+1</f>
        <v>872587.1799999999</v>
      </c>
      <c r="D12" s="332">
        <f>SUM(D9:D11)</f>
        <v>190006.72</v>
      </c>
      <c r="E12" s="332">
        <f>SUM(E9:E11)</f>
        <v>3248.31</v>
      </c>
      <c r="F12" s="332">
        <f>SUM(F9:F11)</f>
        <v>14448.640000000001</v>
      </c>
      <c r="G12" s="129">
        <f>SUM(G9:G11)</f>
        <v>1246043.52</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35" t="s">
        <v>496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-'[13]TRIAL BALANCE @ 10-26-04'!E100-'[13]TRIAL BALANCE @ 10-26-04'!E119</f>
        <v>437330.94</v>
      </c>
      <c r="C15" s="126">
        <f>-'[13]TRIAL BALANCE @ 10-26-04'!E97-'[13]TRIAL BALANCE @ 10-26-04'!E116</f>
        <v>112603.81999999999</v>
      </c>
      <c r="D15" s="126">
        <f>-'[13]TRIAL BALANCE @ 10-26-04'!E94-'[13]TRIAL BALANCE @ 10-26-04'!E113</f>
        <v>38071.43</v>
      </c>
      <c r="E15" s="122">
        <f>-'[13]TRIAL BALANCE @ 10-26-04'!E91-'[13]TRIAL BALANCE @ 10-26-04'!E110</f>
        <v>10909.05</v>
      </c>
      <c r="F15" s="122">
        <f>-'[13]TRIAL BALANCE @ 10-26-04'!$F$89-'[13]TRIAL BALANCE @ 10-26-04'!F108</f>
        <v>6091.65</v>
      </c>
      <c r="G15" s="122">
        <f>SUM(B15:F15)</f>
        <v>605006.8900000001</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-'[13]TRIAL BALANCE @ 10-26-04'!E101-'[13]TRIAL BALANCE @ 10-26-04'!E120</f>
        <v>63011.520000000004</v>
      </c>
      <c r="C16" s="126">
        <f>-'[13]TRIAL BALANCE @ 10-26-04'!E98-'[13]TRIAL BALANCE @ 10-26-04'!E117</f>
        <v>7649.21</v>
      </c>
      <c r="D16" s="126">
        <f>-'[13]TRIAL BALANCE @ 10-26-04'!E95-'[13]TRIAL BALANCE @ 10-26-04'!E114</f>
        <v>3605.75</v>
      </c>
      <c r="E16" s="122">
        <f>-'[13]TRIAL BALANCE @ 10-26-04'!E92-'[13]TRIAL BALANCE @ 10-26-04'!E111</f>
        <v>64.18</v>
      </c>
      <c r="F16" s="122">
        <v>0</v>
      </c>
      <c r="G16" s="122">
        <f>SUM(B16:F16)</f>
        <v>74330.66</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2">
        <f>-'[13]TRIAL BALANCE @ 10-26-04'!E102-'[13]TRIAL BALANCE @ 10-26-04'!E121</f>
        <v>757.96</v>
      </c>
      <c r="C17" s="122">
        <v>0</v>
      </c>
      <c r="D17" s="122">
        <v>0</v>
      </c>
      <c r="E17" s="122">
        <v>0</v>
      </c>
      <c r="F17" s="122">
        <v>0</v>
      </c>
      <c r="G17" s="122">
        <f>SUM(B17:F17)</f>
        <v>757.96</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34" t="s">
        <v>382</v>
      </c>
      <c r="B18" s="138">
        <f>SUM(B15:B17)+1</f>
        <v>501101.42000000004</v>
      </c>
      <c r="C18" s="138">
        <f>SUM(C15:C17)</f>
        <v>120253.03</v>
      </c>
      <c r="D18" s="138">
        <f>SUM(D15:D17)</f>
        <v>41677.18</v>
      </c>
      <c r="E18" s="332">
        <f>SUM(E15:E17)</f>
        <v>10973.23</v>
      </c>
      <c r="F18" s="332">
        <f>SUM(F15:F17)</f>
        <v>6091.65</v>
      </c>
      <c r="G18" s="129">
        <f>SUM(G15:G17)</f>
        <v>680095.5100000001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37"/>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35" t="s">
        <v>479</v>
      </c>
      <c r="B20" s="312"/>
      <c r="C20" s="312"/>
      <c r="D20" s="312"/>
      <c r="E20" s="569"/>
      <c r="F20" s="569"/>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f>'[14]Loss Expenses YTD-12'!B21</f>
        <v>0</v>
      </c>
      <c r="C21" s="126">
        <f>'[14]Loss Expenses YTD-12'!C21</f>
        <v>337867.09</v>
      </c>
      <c r="D21" s="126">
        <f>'[14]Loss Expenses YTD-12'!D21</f>
        <v>231301.85</v>
      </c>
      <c r="E21" s="122">
        <f>'[14]Loss Expenses YTD-12'!E21</f>
        <v>10898.35</v>
      </c>
      <c r="F21" s="122">
        <f>'[14]Loss Expenses YTD-12'!F21</f>
        <v>20110.96</v>
      </c>
      <c r="G21" s="122">
        <f>SUM(B21:F21)</f>
        <v>600178.25</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f>'[14]Loss Expenses YTD-12'!B22</f>
        <v>0</v>
      </c>
      <c r="C22" s="126">
        <f>'[14]Loss Expenses YTD-12'!C22</f>
        <v>93705.38</v>
      </c>
      <c r="D22" s="126">
        <f>'[14]Loss Expenses YTD-12'!D22</f>
        <v>19375.21</v>
      </c>
      <c r="E22" s="122">
        <f>'[14]Loss Expenses YTD-12'!E22</f>
        <v>1078.82</v>
      </c>
      <c r="F22" s="122">
        <f>'[14]Loss Expenses YTD-12'!F22</f>
        <v>0</v>
      </c>
      <c r="G22" s="122">
        <f>SUM(B22:F22)</f>
        <v>114159.41</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f>'[14]Loss Expenses YTD-12'!B23</f>
        <v>0</v>
      </c>
      <c r="C23" s="126">
        <f>'[14]Loss Expenses YTD-12'!C23</f>
        <v>2850.76</v>
      </c>
      <c r="D23" s="126">
        <f>'[14]Loss Expenses YTD-12'!D23</f>
        <v>0</v>
      </c>
      <c r="E23" s="122">
        <f>'[14]Loss Expenses YTD-12'!E23</f>
        <v>0</v>
      </c>
      <c r="F23" s="122">
        <f>'[14]Loss Expenses YTD-12'!F23</f>
        <v>0</v>
      </c>
      <c r="G23" s="122">
        <f>SUM(B23:F23)</f>
        <v>2850.76</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34" t="s">
        <v>382</v>
      </c>
      <c r="B24" s="138">
        <f aca="true" t="shared" si="0" ref="B24:G24">SUM(B21:B23)</f>
        <v>0</v>
      </c>
      <c r="C24" s="138">
        <f t="shared" si="0"/>
        <v>434423.23000000004</v>
      </c>
      <c r="D24" s="138">
        <f t="shared" si="0"/>
        <v>250677.06</v>
      </c>
      <c r="E24" s="332">
        <f t="shared" si="0"/>
        <v>11977.17</v>
      </c>
      <c r="F24" s="332">
        <f t="shared" si="0"/>
        <v>20110.96</v>
      </c>
      <c r="G24" s="129">
        <f t="shared" si="0"/>
        <v>717188.42</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38"/>
      <c r="J25" s="938"/>
      <c r="K25" s="938"/>
      <c r="L25" s="938"/>
      <c r="M25" s="938"/>
      <c r="N25" s="938"/>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row>
    <row r="26" spans="1:38" s="23" customFormat="1" ht="30" customHeight="1">
      <c r="A26" s="935"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B9+B15-B21</f>
        <v>505731.35</v>
      </c>
      <c r="C27" s="122">
        <f aca="true" t="shared" si="1" ref="C27:F29">C9+C15-C21</f>
        <v>298841.5599999999</v>
      </c>
      <c r="D27" s="122">
        <f>D9+D15-D21-1</f>
        <v>-59226.32000000001</v>
      </c>
      <c r="E27" s="122">
        <f t="shared" si="1"/>
        <v>1845.8799999999992</v>
      </c>
      <c r="F27" s="122">
        <f>F9+F15-F21+1</f>
        <v>430.33000000000175</v>
      </c>
      <c r="G27" s="122">
        <f>SUM(B27:F27)</f>
        <v>747622.7999999998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f>
        <v>160364.78</v>
      </c>
      <c r="C28" s="122">
        <f t="shared" si="1"/>
        <v>256123.56</v>
      </c>
      <c r="D28" s="122">
        <f>D10+D16-D22+1</f>
        <v>40233.16</v>
      </c>
      <c r="E28" s="122">
        <f t="shared" si="1"/>
        <v>398.49</v>
      </c>
      <c r="F28" s="122">
        <f t="shared" si="1"/>
        <v>0</v>
      </c>
      <c r="G28" s="122">
        <f>SUM(B28:F28)</f>
        <v>457119.99</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B11+B17-B23</f>
        <v>757.96</v>
      </c>
      <c r="C29" s="122">
        <f t="shared" si="1"/>
        <v>3450.8600000000006</v>
      </c>
      <c r="D29" s="122">
        <f t="shared" si="1"/>
        <v>0</v>
      </c>
      <c r="E29" s="122">
        <f t="shared" si="1"/>
        <v>0</v>
      </c>
      <c r="F29" s="122">
        <f t="shared" si="1"/>
        <v>0</v>
      </c>
      <c r="G29" s="122">
        <f>SUM(B29:F29)</f>
        <v>4208.820000000001</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5">
        <f aca="true" t="shared" si="2" ref="B30:G30">SUM(B27:B29)</f>
        <v>666854.09</v>
      </c>
      <c r="C30" s="345">
        <f>SUM(C27:C29)+1</f>
        <v>558416.9799999999</v>
      </c>
      <c r="D30" s="345">
        <f t="shared" si="2"/>
        <v>-18993.160000000003</v>
      </c>
      <c r="E30" s="345">
        <f t="shared" si="2"/>
        <v>2244.369999999999</v>
      </c>
      <c r="F30" s="345">
        <f t="shared" si="2"/>
        <v>430.33000000000175</v>
      </c>
      <c r="G30" s="345">
        <f t="shared" si="2"/>
        <v>1208951.6099999999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39"/>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254</v>
      </c>
      <c r="B1" s="307"/>
      <c r="C1" s="307"/>
      <c r="D1" s="324"/>
      <c r="E1" s="324"/>
      <c r="F1" s="324"/>
      <c r="G1" s="325"/>
    </row>
    <row r="2" spans="1:7" ht="19.5" customHeight="1">
      <c r="A2" s="19"/>
      <c r="B2" s="308"/>
      <c r="C2" s="308"/>
      <c r="D2" s="326"/>
      <c r="E2" s="326"/>
      <c r="F2" s="308"/>
      <c r="G2" s="308"/>
    </row>
    <row r="3" spans="1:7" s="103" customFormat="1" ht="18.75">
      <c r="A3" s="102" t="s">
        <v>388</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42</v>
      </c>
      <c r="C6" s="310" t="s">
        <v>46</v>
      </c>
      <c r="D6" s="322" t="s">
        <v>143</v>
      </c>
      <c r="E6" s="322" t="s">
        <v>216</v>
      </c>
      <c r="F6" s="322" t="s">
        <v>98</v>
      </c>
      <c r="G6" s="323" t="s">
        <v>255</v>
      </c>
    </row>
    <row r="7" spans="1:7" ht="15.75">
      <c r="A7" s="105" t="s">
        <v>389</v>
      </c>
      <c r="D7" s="330"/>
      <c r="E7" s="330"/>
      <c r="F7" s="330"/>
      <c r="G7" s="330"/>
    </row>
    <row r="8" spans="1:8" ht="15">
      <c r="A8" s="105" t="s">
        <v>390</v>
      </c>
      <c r="B8" s="311"/>
      <c r="C8" s="311"/>
      <c r="D8" s="330"/>
      <c r="E8" s="330"/>
      <c r="F8" s="330"/>
      <c r="G8" s="330"/>
      <c r="H8" s="114"/>
    </row>
    <row r="9" spans="1:8" ht="14.25">
      <c r="A9" s="106" t="s">
        <v>391</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237</v>
      </c>
    </row>
    <row r="10" spans="1:8" s="23" customFormat="1" ht="14.25">
      <c r="A10" s="107" t="s">
        <v>392</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238</v>
      </c>
    </row>
    <row r="11" spans="1:8" s="23" customFormat="1" ht="14.25">
      <c r="A11" s="107" t="s">
        <v>393</v>
      </c>
      <c r="B11" s="315" t="e">
        <f>+'[1]TB03-31-04(Final)'!D386</f>
        <v>#REF!</v>
      </c>
      <c r="C11" s="315" t="e">
        <f>+'[1]TB03-31-04(Final)'!F385</f>
        <v>#REF!</v>
      </c>
      <c r="D11" s="315" t="e">
        <f>+'[1]TB03-31-04(Final)'!F384</f>
        <v>#REF!</v>
      </c>
      <c r="E11" s="315">
        <f>+'[1]TB03-31-04(Final)'!F382</f>
        <v>0</v>
      </c>
      <c r="F11" s="315">
        <f>+'[1]TB03-31-04(Final)'!F381</f>
        <v>0</v>
      </c>
      <c r="G11" s="331" t="e">
        <f>SUM(B11:F11)</f>
        <v>#REF!</v>
      </c>
      <c r="H11" s="25" t="s">
        <v>239</v>
      </c>
    </row>
    <row r="12" spans="1:8" s="23" customFormat="1" ht="15.75" thickBot="1">
      <c r="A12" s="108" t="s">
        <v>382</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152</v>
      </c>
      <c r="B14" s="126"/>
      <c r="C14" s="126"/>
      <c r="D14" s="331"/>
      <c r="E14" s="331"/>
      <c r="F14" s="331"/>
      <c r="G14" s="331"/>
    </row>
    <row r="15" spans="1:7" s="23" customFormat="1" ht="14.25">
      <c r="A15" s="106" t="s">
        <v>394</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395</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396</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382</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204</v>
      </c>
      <c r="B20" s="312" t="s">
        <v>253</v>
      </c>
      <c r="C20" s="312" t="s">
        <v>253</v>
      </c>
      <c r="D20" s="331"/>
      <c r="E20" s="331"/>
      <c r="F20" s="331"/>
      <c r="G20" s="331"/>
    </row>
    <row r="21" spans="1:7" s="23" customFormat="1" ht="14.25">
      <c r="A21" s="106" t="s">
        <v>394</v>
      </c>
      <c r="B21" s="126">
        <v>0</v>
      </c>
      <c r="C21" s="126">
        <v>3812745.98</v>
      </c>
      <c r="D21" s="331">
        <v>796383.95</v>
      </c>
      <c r="E21" s="331">
        <v>173012</v>
      </c>
      <c r="F21" s="331">
        <f>4+76330.03</f>
        <v>76334.03</v>
      </c>
      <c r="G21" s="331">
        <f>SUM(B21:F21)</f>
        <v>4858475.96</v>
      </c>
    </row>
    <row r="22" spans="1:7" s="23" customFormat="1" ht="14.25">
      <c r="A22" s="106" t="s">
        <v>395</v>
      </c>
      <c r="B22" s="126">
        <v>0</v>
      </c>
      <c r="C22" s="126">
        <v>582572.89</v>
      </c>
      <c r="D22" s="331">
        <v>136273.61</v>
      </c>
      <c r="E22" s="331">
        <v>-982</v>
      </c>
      <c r="F22" s="331">
        <f>365.82+1967</f>
        <v>2332.82</v>
      </c>
      <c r="G22" s="331">
        <f>SUM(B22:F22)</f>
        <v>720197.32</v>
      </c>
    </row>
    <row r="23" spans="1:7" s="23" customFormat="1" ht="14.25">
      <c r="A23" s="106" t="s">
        <v>396</v>
      </c>
      <c r="B23" s="126">
        <v>0</v>
      </c>
      <c r="C23" s="126">
        <v>8803.51</v>
      </c>
      <c r="D23" s="331">
        <v>0</v>
      </c>
      <c r="E23" s="331">
        <v>0</v>
      </c>
      <c r="F23" s="331">
        <v>0</v>
      </c>
      <c r="G23" s="331">
        <f>SUM(B23:F23)</f>
        <v>8803.51</v>
      </c>
    </row>
    <row r="24" spans="1:8" s="23" customFormat="1" ht="15.75" thickBot="1">
      <c r="A24" s="108" t="s">
        <v>382</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397</v>
      </c>
      <c r="B26" s="126"/>
      <c r="C26" s="126"/>
      <c r="D26" s="331"/>
      <c r="E26" s="331"/>
      <c r="F26" s="331"/>
      <c r="G26" s="331"/>
    </row>
    <row r="27" spans="1:9" s="23" customFormat="1" ht="14.25">
      <c r="A27" s="106" t="s">
        <v>394</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370</v>
      </c>
      <c r="I27" s="23" t="s">
        <v>373</v>
      </c>
    </row>
    <row r="28" spans="1:8" s="23" customFormat="1" ht="14.25">
      <c r="A28" s="106" t="s">
        <v>395</v>
      </c>
      <c r="B28" s="331" t="e">
        <f t="shared" si="1"/>
        <v>#REF!</v>
      </c>
      <c r="C28" s="331" t="e">
        <f t="shared" si="1"/>
        <v>#REF!</v>
      </c>
      <c r="D28" s="331" t="e">
        <f t="shared" si="2"/>
        <v>#REF!</v>
      </c>
      <c r="E28" s="331">
        <f t="shared" si="2"/>
        <v>70972.57</v>
      </c>
      <c r="F28" s="331" t="e">
        <f>F10+(F16-F22)</f>
        <v>#REF!</v>
      </c>
      <c r="G28" s="331" t="e">
        <f>SUM(B28:F28)</f>
        <v>#REF!</v>
      </c>
      <c r="H28" s="25" t="s">
        <v>371</v>
      </c>
    </row>
    <row r="29" spans="1:8" s="23" customFormat="1" ht="14.25">
      <c r="A29" s="106" t="s">
        <v>396</v>
      </c>
      <c r="B29" s="331" t="e">
        <f t="shared" si="1"/>
        <v>#REF!</v>
      </c>
      <c r="C29" s="331" t="e">
        <f t="shared" si="1"/>
        <v>#REF!</v>
      </c>
      <c r="D29" s="331" t="e">
        <f t="shared" si="2"/>
        <v>#REF!</v>
      </c>
      <c r="E29" s="331">
        <f t="shared" si="2"/>
        <v>0</v>
      </c>
      <c r="F29" s="331" t="e">
        <f>F11+(F17-F23)</f>
        <v>#REF!</v>
      </c>
      <c r="G29" s="331" t="e">
        <f>SUM(B29:F29)</f>
        <v>#REF!</v>
      </c>
      <c r="H29" s="25" t="s">
        <v>372</v>
      </c>
    </row>
    <row r="30" spans="1:9" ht="15.75" thickBot="1">
      <c r="A30" s="108" t="s">
        <v>382</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433</v>
      </c>
      <c r="D33" s="350"/>
      <c r="E33" s="350"/>
      <c r="F33" s="350"/>
      <c r="G33" s="351" t="s">
        <v>431</v>
      </c>
    </row>
    <row r="34" spans="1:7" ht="14.25">
      <c r="A34" s="106" t="s">
        <v>394</v>
      </c>
      <c r="B34" s="126">
        <f>468189.06-222137.25</f>
        <v>246051.81</v>
      </c>
      <c r="C34" s="126">
        <f>468189.06-222137.25</f>
        <v>246051.81</v>
      </c>
      <c r="D34" s="126">
        <f>448199.18-670918.35</f>
        <v>-222719.16999999998</v>
      </c>
      <c r="E34" s="352">
        <v>0</v>
      </c>
      <c r="F34" s="352">
        <v>0</v>
      </c>
      <c r="G34" s="122">
        <f>SUM(B34:F34)</f>
        <v>269384.45</v>
      </c>
    </row>
    <row r="35" spans="1:7" ht="14.25">
      <c r="A35" s="106" t="s">
        <v>395</v>
      </c>
      <c r="B35" s="126">
        <f>175542.97-81939.83</f>
        <v>93603.14</v>
      </c>
      <c r="C35" s="126">
        <f>175542.97-81939.83</f>
        <v>93603.14</v>
      </c>
      <c r="D35" s="126">
        <f>180110.78-278566.43</f>
        <v>-98455.65</v>
      </c>
      <c r="E35" s="352">
        <v>0</v>
      </c>
      <c r="F35" s="352">
        <v>0</v>
      </c>
      <c r="G35" s="122">
        <f>SUM(B35:F35)</f>
        <v>88750.63</v>
      </c>
    </row>
    <row r="36" spans="1:7" ht="14.25">
      <c r="A36" s="106" t="s">
        <v>396</v>
      </c>
      <c r="B36" s="126">
        <f>3215.61-1526.93</f>
        <v>1688.68</v>
      </c>
      <c r="C36" s="126">
        <f>3215.61-1526.93</f>
        <v>1688.68</v>
      </c>
      <c r="D36" s="126">
        <f>3443.46-5433.83</f>
        <v>-1990.37</v>
      </c>
      <c r="E36" s="352">
        <v>0</v>
      </c>
      <c r="F36" s="352">
        <v>0</v>
      </c>
      <c r="G36" s="122">
        <f>SUM(B36:F36)</f>
        <v>1386.9900000000002</v>
      </c>
    </row>
    <row r="37" spans="1:7" ht="15.75" thickBot="1">
      <c r="A37" s="108" t="s">
        <v>382</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273</v>
      </c>
      <c r="B39" s="322" t="s">
        <v>46</v>
      </c>
      <c r="C39" s="322" t="s">
        <v>46</v>
      </c>
      <c r="D39" s="322" t="s">
        <v>143</v>
      </c>
      <c r="E39" s="322" t="s">
        <v>216</v>
      </c>
      <c r="F39" s="322" t="s">
        <v>288</v>
      </c>
      <c r="G39" s="323" t="s">
        <v>255</v>
      </c>
      <c r="H39" s="251"/>
    </row>
    <row r="40" spans="2:8" ht="15.75">
      <c r="B40" s="313"/>
      <c r="C40" s="313"/>
      <c r="D40" s="318"/>
      <c r="E40" s="318"/>
      <c r="F40" s="320"/>
      <c r="G40" s="315"/>
      <c r="H40" s="252" t="e">
        <f>+'[1]TB03-31-04(Final)'!G455</f>
        <v>#REF!</v>
      </c>
    </row>
    <row r="41" spans="1:8" ht="12.75" customHeight="1">
      <c r="A41" s="106" t="s">
        <v>394</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395</v>
      </c>
      <c r="B42" s="314" t="e">
        <f>+B28-B35</f>
        <v>#REF!</v>
      </c>
      <c r="C42" s="314" t="e">
        <f t="shared" si="4"/>
        <v>#REF!</v>
      </c>
      <c r="D42" s="314" t="e">
        <f t="shared" si="4"/>
        <v>#REF!</v>
      </c>
      <c r="E42" s="314">
        <f t="shared" si="4"/>
        <v>70972.57</v>
      </c>
      <c r="F42" s="314" t="e">
        <f t="shared" si="4"/>
        <v>#REF!</v>
      </c>
      <c r="G42" s="315" t="e">
        <f>SUM(C42:F42)</f>
        <v>#REF!</v>
      </c>
      <c r="H42" s="96"/>
    </row>
    <row r="43" spans="1:8" ht="14.25">
      <c r="A43" s="106" t="s">
        <v>396</v>
      </c>
      <c r="B43" s="314" t="e">
        <f>+B29-B36</f>
        <v>#REF!</v>
      </c>
      <c r="C43" s="314" t="e">
        <f>+C29-C36</f>
        <v>#REF!</v>
      </c>
      <c r="D43" s="314" t="e">
        <f>+D29-D36</f>
        <v>#REF!</v>
      </c>
      <c r="E43" s="314">
        <f>+E29-E35</f>
        <v>0</v>
      </c>
      <c r="F43" s="314" t="e">
        <f>+F29-F35</f>
        <v>#REF!</v>
      </c>
      <c r="G43" s="315" t="e">
        <f>SUM(C43:F43)</f>
        <v>#REF!</v>
      </c>
      <c r="H43" s="96"/>
    </row>
    <row r="44" spans="1:8" ht="15.75" thickBot="1">
      <c r="A44" s="108" t="s">
        <v>382</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1"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9" t="s">
        <v>254</v>
      </c>
      <c r="C1" s="960"/>
      <c r="D1" s="960"/>
      <c r="E1" s="960"/>
      <c r="F1" s="960"/>
      <c r="G1" s="960"/>
      <c r="H1" s="960"/>
      <c r="I1" s="961"/>
    </row>
    <row r="2" spans="2:9" s="11" customFormat="1" ht="19.5">
      <c r="B2" s="952"/>
      <c r="C2" s="946"/>
      <c r="D2" s="946"/>
      <c r="E2" s="946"/>
      <c r="F2" s="946"/>
      <c r="G2" s="623"/>
      <c r="H2" s="624"/>
      <c r="I2" s="625"/>
    </row>
    <row r="3" spans="2:9" s="12" customFormat="1" ht="16.5">
      <c r="B3" s="962" t="s">
        <v>208</v>
      </c>
      <c r="C3" s="963"/>
      <c r="D3" s="963"/>
      <c r="E3" s="963"/>
      <c r="F3" s="963"/>
      <c r="G3" s="963"/>
      <c r="H3" s="963"/>
      <c r="I3" s="964"/>
    </row>
    <row r="4" spans="2:9" s="12" customFormat="1" ht="16.5">
      <c r="B4" s="965" t="s">
        <v>151</v>
      </c>
      <c r="C4" s="950"/>
      <c r="D4" s="950"/>
      <c r="E4" s="950"/>
      <c r="F4" s="950"/>
      <c r="G4" s="950"/>
      <c r="H4" s="950"/>
      <c r="I4" s="951"/>
    </row>
    <row r="5" spans="2:9" ht="15">
      <c r="B5" s="626"/>
      <c r="C5" s="651"/>
      <c r="D5" s="651"/>
      <c r="E5" s="957" t="s">
        <v>135</v>
      </c>
      <c r="F5" s="957"/>
      <c r="G5" s="650"/>
      <c r="H5" s="957" t="s">
        <v>136</v>
      </c>
      <c r="I5" s="958"/>
    </row>
    <row r="6" spans="2:9" ht="45">
      <c r="B6" s="626"/>
      <c r="C6" s="627" t="s">
        <v>209</v>
      </c>
      <c r="D6" s="627" t="s">
        <v>210</v>
      </c>
      <c r="E6" s="627" t="s">
        <v>211</v>
      </c>
      <c r="F6" s="627" t="s">
        <v>212</v>
      </c>
      <c r="G6" s="628"/>
      <c r="H6" s="627" t="s">
        <v>211</v>
      </c>
      <c r="I6" s="649" t="s">
        <v>212</v>
      </c>
    </row>
    <row r="7" spans="1:9" ht="15">
      <c r="A7" s="14" t="s">
        <v>427</v>
      </c>
      <c r="B7" s="629" t="s">
        <v>256</v>
      </c>
      <c r="C7" s="476"/>
      <c r="D7" s="476"/>
      <c r="E7" s="476"/>
      <c r="F7" s="476"/>
      <c r="G7" s="628"/>
      <c r="H7" s="614"/>
      <c r="I7" s="614"/>
    </row>
    <row r="8" spans="1:9" ht="14.25">
      <c r="A8" s="14">
        <v>5</v>
      </c>
      <c r="B8" s="630" t="s">
        <v>214</v>
      </c>
      <c r="C8" s="477"/>
      <c r="D8" s="477"/>
      <c r="E8" s="477"/>
      <c r="F8" s="477"/>
      <c r="G8" s="631"/>
      <c r="H8" s="615"/>
      <c r="I8" s="615"/>
    </row>
    <row r="9" spans="2:9" ht="14.25">
      <c r="B9" s="630" t="s">
        <v>215</v>
      </c>
      <c r="C9" s="477">
        <f>+'[1]TB03-31-04(Final)'!G16+'[1]TB03-31-04(Final)'!G23</f>
        <v>9850900.019999998</v>
      </c>
      <c r="D9" s="484">
        <v>0</v>
      </c>
      <c r="E9" s="484">
        <v>0</v>
      </c>
      <c r="F9" s="477">
        <f>SUM(C9:E9)</f>
        <v>9850900.019999998</v>
      </c>
      <c r="G9" s="631"/>
      <c r="H9" s="615"/>
      <c r="I9" s="616">
        <f>+'[7]Balance Sheet (pg 1)'!$E$9</f>
        <v>9779587.32</v>
      </c>
    </row>
    <row r="10" spans="1:9" ht="14.25">
      <c r="A10" s="14">
        <v>11</v>
      </c>
      <c r="B10" s="630" t="s">
        <v>142</v>
      </c>
      <c r="C10" s="485">
        <v>0</v>
      </c>
      <c r="D10" s="485">
        <f>+'[1]TB03-31-04(Final)'!G25</f>
        <v>10038.47</v>
      </c>
      <c r="E10" s="485">
        <v>0</v>
      </c>
      <c r="F10" s="485">
        <f>SUM(C10:E10)</f>
        <v>10038.47</v>
      </c>
      <c r="G10" s="631"/>
      <c r="H10" s="615"/>
      <c r="I10" s="617">
        <f>+'[7]Balance Sheet (pg 1)'!$E$10</f>
        <v>9035.63</v>
      </c>
    </row>
    <row r="11" spans="1:9" ht="14.25" customHeight="1">
      <c r="A11" s="14">
        <v>18</v>
      </c>
      <c r="B11" s="630" t="s">
        <v>258</v>
      </c>
      <c r="C11" s="485">
        <f>+'[1]TB03-31-04(Final)'!E1029</f>
        <v>172930.65000000002</v>
      </c>
      <c r="D11" s="485">
        <v>0</v>
      </c>
      <c r="E11" s="485">
        <f>C11</f>
        <v>172930.65000000002</v>
      </c>
      <c r="F11" s="485">
        <f>+C11-E11</f>
        <v>0</v>
      </c>
      <c r="G11" s="631"/>
      <c r="H11" s="617">
        <f>+'[7]Balance Sheet (pg 1)'!$D$11</f>
        <v>240717.92</v>
      </c>
      <c r="I11" s="618">
        <f>+'[7]Balance Sheet (pg 1)'!$E$11</f>
        <v>0</v>
      </c>
    </row>
    <row r="12" spans="1:9" ht="14.25" customHeight="1">
      <c r="A12" s="14">
        <v>17</v>
      </c>
      <c r="B12" s="630" t="s">
        <v>260</v>
      </c>
      <c r="C12" s="485">
        <f>+'[1]TB03-31-04(Final)'!G1033</f>
        <v>52339.42</v>
      </c>
      <c r="D12" s="485">
        <v>0</v>
      </c>
      <c r="E12" s="485">
        <v>0</v>
      </c>
      <c r="F12" s="485">
        <f>+C12-E12</f>
        <v>52339.42</v>
      </c>
      <c r="G12" s="631"/>
      <c r="H12" s="615"/>
      <c r="I12" s="618">
        <f>+'[7]Balance Sheet (pg 1)'!$E$12</f>
        <v>20473.260000000002</v>
      </c>
    </row>
    <row r="13" spans="1:9" ht="15.75" customHeight="1">
      <c r="A13" s="14">
        <v>18</v>
      </c>
      <c r="B13" s="630" t="s">
        <v>261</v>
      </c>
      <c r="C13" s="485">
        <f>+'[1]TB03-31-04(Final)'!E1038</f>
        <v>46955.560000000005</v>
      </c>
      <c r="D13" s="485">
        <v>0</v>
      </c>
      <c r="E13" s="485">
        <f>C13</f>
        <v>46955.560000000005</v>
      </c>
      <c r="F13" s="485">
        <f>+C13-E13</f>
        <v>0</v>
      </c>
      <c r="G13" s="631"/>
      <c r="H13" s="617">
        <f>+'[7]Balance Sheet (pg 1)'!$D$13</f>
        <v>58331.310000000005</v>
      </c>
      <c r="I13" s="618">
        <f>+'[7]Balance Sheet (pg 1)'!$E$13</f>
        <v>0</v>
      </c>
    </row>
    <row r="14" spans="1:9" ht="14.25">
      <c r="A14" s="14">
        <v>23</v>
      </c>
      <c r="B14" s="632" t="s">
        <v>153</v>
      </c>
      <c r="C14" s="485">
        <v>0</v>
      </c>
      <c r="D14" s="485">
        <v>0</v>
      </c>
      <c r="E14" s="485">
        <v>0</v>
      </c>
      <c r="F14" s="485">
        <f>+C14-E14</f>
        <v>0</v>
      </c>
      <c r="G14" s="631"/>
      <c r="H14" s="621">
        <f>+'[7]Balance Sheet (pg 1)'!$D$16</f>
        <v>335155</v>
      </c>
      <c r="I14" s="618">
        <f>+'[7]Balance Sheet (pg 1)'!$E$16</f>
        <v>0</v>
      </c>
    </row>
    <row r="15" spans="1:9" ht="14.25">
      <c r="A15" s="14">
        <v>23</v>
      </c>
      <c r="B15" s="633" t="s">
        <v>154</v>
      </c>
      <c r="C15" s="622">
        <v>0</v>
      </c>
      <c r="D15" s="622">
        <v>0</v>
      </c>
      <c r="E15" s="622">
        <f>C15</f>
        <v>0</v>
      </c>
      <c r="F15" s="622">
        <f>+C15-E15</f>
        <v>0</v>
      </c>
      <c r="G15" s="634"/>
      <c r="H15" s="621">
        <v>42501</v>
      </c>
      <c r="I15" s="620">
        <f>+'[7]Balance Sheet (pg 1)'!$E$14</f>
        <v>0</v>
      </c>
    </row>
    <row r="16" spans="1:9" ht="14.25">
      <c r="A16" s="14">
        <v>23</v>
      </c>
      <c r="B16" s="632" t="s">
        <v>155</v>
      </c>
      <c r="C16" s="486" t="e">
        <f>+'[1]TB03-31-04(Final)'!F1025</f>
        <v>#REF!</v>
      </c>
      <c r="D16" s="485">
        <v>0</v>
      </c>
      <c r="E16" s="485">
        <v>0</v>
      </c>
      <c r="F16" s="485" t="e">
        <f>+C16-D16-E16</f>
        <v>#REF!</v>
      </c>
      <c r="G16" s="631"/>
      <c r="H16" s="621">
        <f>+'[7]Balance Sheet (pg 1)'!$D$17</f>
        <v>4979.98</v>
      </c>
      <c r="I16" s="618">
        <f>+'[7]Balance Sheet (pg 1)'!$E$17</f>
        <v>0</v>
      </c>
    </row>
    <row r="17" spans="2:9" ht="15">
      <c r="B17" s="635" t="s">
        <v>262</v>
      </c>
      <c r="C17" s="478" t="e">
        <f>SUM(C9:C16)</f>
        <v>#REF!</v>
      </c>
      <c r="D17" s="478">
        <f>SUM(D9:D16)</f>
        <v>10038.47</v>
      </c>
      <c r="E17" s="478">
        <f>SUM(E9:E16)</f>
        <v>219886.21000000002</v>
      </c>
      <c r="F17" s="478" t="e">
        <f>SUM(F9:F16)</f>
        <v>#REF!</v>
      </c>
      <c r="G17" s="631"/>
      <c r="H17" s="478">
        <f>SUM(H7:H16)</f>
        <v>681685.21</v>
      </c>
      <c r="I17" s="478">
        <f>SUM(I9:I16)</f>
        <v>9809096.21</v>
      </c>
    </row>
    <row r="18" spans="2:9" ht="14.25">
      <c r="B18" s="636"/>
      <c r="C18" s="479"/>
      <c r="D18" s="479"/>
      <c r="E18" s="479"/>
      <c r="F18" s="479"/>
      <c r="G18" s="631"/>
      <c r="H18" s="637"/>
      <c r="I18" s="638"/>
    </row>
    <row r="19" spans="1:9" ht="15">
      <c r="A19" s="688" t="s">
        <v>426</v>
      </c>
      <c r="B19" s="639" t="s">
        <v>263</v>
      </c>
      <c r="C19" s="479"/>
      <c r="D19" s="479"/>
      <c r="E19" s="479"/>
      <c r="F19" s="479"/>
      <c r="G19" s="631"/>
      <c r="H19" s="22"/>
      <c r="I19" s="638"/>
    </row>
    <row r="20" spans="1:9" ht="15">
      <c r="A20" s="14">
        <v>1</v>
      </c>
      <c r="B20" s="640" t="s">
        <v>138</v>
      </c>
      <c r="C20" s="479"/>
      <c r="D20" s="480"/>
      <c r="E20" s="488">
        <f>-'[1]TB3-31-04 (Pre)'!F199</f>
        <v>47682</v>
      </c>
      <c r="F20" s="480"/>
      <c r="G20" s="631"/>
      <c r="H20" s="344">
        <f>+'[7]Balance Sheet (pg 1)'!$D$26</f>
        <v>91297.81</v>
      </c>
      <c r="I20" s="638"/>
    </row>
    <row r="21" spans="1:9" ht="15">
      <c r="A21" s="14">
        <v>3</v>
      </c>
      <c r="B21" s="640" t="s">
        <v>139</v>
      </c>
      <c r="C21" s="479"/>
      <c r="D21" s="480"/>
      <c r="E21" s="488">
        <f>-'[1]TB3-31-04 (Pre)'!F198</f>
        <v>6748.45</v>
      </c>
      <c r="F21" s="489"/>
      <c r="G21" s="631"/>
      <c r="H21" s="344"/>
      <c r="I21" s="638"/>
    </row>
    <row r="22" spans="1:9" ht="15">
      <c r="A22" s="14">
        <v>4</v>
      </c>
      <c r="B22" s="640" t="s">
        <v>140</v>
      </c>
      <c r="C22" s="479"/>
      <c r="D22" s="551"/>
      <c r="E22" s="488">
        <f>-'[1]TB03-31-04(Final)'!G272</f>
        <v>263743.5</v>
      </c>
      <c r="F22" s="479"/>
      <c r="G22" s="631"/>
      <c r="H22" s="344">
        <f>+'[7]Balance Sheet (pg 1)'!$D$25</f>
        <v>113994.26000000001</v>
      </c>
      <c r="I22" s="638"/>
    </row>
    <row r="23" spans="1:9" ht="15">
      <c r="A23" s="14">
        <v>5</v>
      </c>
      <c r="B23" s="640" t="s">
        <v>104</v>
      </c>
      <c r="C23" s="479"/>
      <c r="D23" s="551"/>
      <c r="E23" s="488">
        <f>-'[1]TB03-31-04(Final)'!G207</f>
        <v>20527.9</v>
      </c>
      <c r="F23" s="479"/>
      <c r="G23" s="631"/>
      <c r="H23" s="127">
        <f>-'[6]TB09-30-02(Final)'!$F$195</f>
        <v>37678.14</v>
      </c>
      <c r="I23" s="638"/>
    </row>
    <row r="24" spans="1:9" ht="15" customHeight="1">
      <c r="A24" s="14">
        <v>6</v>
      </c>
      <c r="B24" s="640" t="s">
        <v>141</v>
      </c>
      <c r="C24" s="479"/>
      <c r="D24" s="479"/>
      <c r="E24" s="488">
        <f>-'[1]TB03-31-04(Final)'!G199</f>
        <v>50113.97</v>
      </c>
      <c r="F24" s="479"/>
      <c r="G24" s="631"/>
      <c r="H24" s="344">
        <f>+'[7]Balance Sheet (pg 1)'!$D$37</f>
        <v>34740</v>
      </c>
      <c r="I24" s="638"/>
    </row>
    <row r="25" spans="1:9" ht="15">
      <c r="A25" s="14">
        <v>10</v>
      </c>
      <c r="B25" s="640" t="s">
        <v>17</v>
      </c>
      <c r="C25" s="479"/>
      <c r="D25" s="480"/>
      <c r="E25" s="488">
        <f>-'[1]TB03-31-04(Final)'!G267</f>
        <v>446013</v>
      </c>
      <c r="F25" s="479"/>
      <c r="G25" s="631"/>
      <c r="H25" s="344">
        <f>+'[7]Balance Sheet (pg 1)'!$D$24</f>
        <v>364716</v>
      </c>
      <c r="I25" s="638"/>
    </row>
    <row r="26" spans="1:9" ht="15">
      <c r="A26" s="14">
        <v>14</v>
      </c>
      <c r="B26" s="640" t="s">
        <v>156</v>
      </c>
      <c r="C26" s="479"/>
      <c r="D26" s="480"/>
      <c r="E26" s="488">
        <f>-'[1]TB03-31-04(Final)'!G256</f>
        <v>294617.31</v>
      </c>
      <c r="F26" s="479"/>
      <c r="G26" s="631"/>
      <c r="H26" s="344">
        <f>+'[7]Balance Sheet (pg 1)'!$D$23</f>
        <v>965550.22</v>
      </c>
      <c r="I26" s="638"/>
    </row>
    <row r="27" spans="1:9" ht="15">
      <c r="A27" s="14">
        <v>27</v>
      </c>
      <c r="B27" s="640" t="s">
        <v>441</v>
      </c>
      <c r="C27" s="479"/>
      <c r="D27" s="480"/>
      <c r="E27" s="488">
        <f>-'[1]TB03-31-04(Final)'!G258</f>
        <v>1290906</v>
      </c>
      <c r="F27" s="479"/>
      <c r="G27" s="631"/>
      <c r="H27" s="344">
        <f>+'[7]Balance Sheet (pg 1)'!$D$22</f>
        <v>618846.84</v>
      </c>
      <c r="I27" s="638"/>
    </row>
    <row r="28" spans="1:9" ht="15">
      <c r="A28" s="14">
        <v>27</v>
      </c>
      <c r="B28" s="640" t="s">
        <v>442</v>
      </c>
      <c r="C28" s="479"/>
      <c r="D28" s="480"/>
      <c r="E28" s="487">
        <f>-'[1]TB03-31-04(Final)'!G260</f>
        <v>505030.11</v>
      </c>
      <c r="F28" s="479"/>
      <c r="G28" s="631"/>
      <c r="H28" s="344">
        <v>0</v>
      </c>
      <c r="I28" s="638"/>
    </row>
    <row r="29" spans="2:9" ht="14.25">
      <c r="B29" s="640"/>
      <c r="C29" s="641"/>
      <c r="D29" s="479"/>
      <c r="E29" s="479"/>
      <c r="F29" s="488"/>
      <c r="G29" s="631"/>
      <c r="H29" s="344"/>
      <c r="I29" s="638"/>
    </row>
    <row r="30" spans="2:9" ht="15">
      <c r="B30" s="643" t="s">
        <v>157</v>
      </c>
      <c r="C30" s="479"/>
      <c r="D30" s="479"/>
      <c r="E30" s="479"/>
      <c r="F30" s="489">
        <f>SUM(E20:E28)</f>
        <v>2925382.2399999998</v>
      </c>
      <c r="G30" s="631"/>
      <c r="H30" s="344"/>
      <c r="I30" s="642">
        <f>SUM(H25:H28)</f>
        <v>1949113.06</v>
      </c>
    </row>
    <row r="31" spans="2:9" ht="14.25">
      <c r="B31" s="636"/>
      <c r="C31" s="479"/>
      <c r="D31" s="479"/>
      <c r="E31" s="479"/>
      <c r="F31" s="479"/>
      <c r="G31" s="631"/>
      <c r="H31" s="344"/>
      <c r="I31" s="638"/>
    </row>
    <row r="32" spans="1:9" ht="15">
      <c r="A32" s="14">
        <v>23</v>
      </c>
      <c r="B32" s="639" t="s">
        <v>266</v>
      </c>
      <c r="C32" s="479"/>
      <c r="D32" s="479"/>
      <c r="E32" s="479"/>
      <c r="F32" s="479"/>
      <c r="G32" s="631"/>
      <c r="H32" s="344"/>
      <c r="I32" s="638"/>
    </row>
    <row r="33" spans="1:9" ht="15">
      <c r="A33" s="14">
        <v>9</v>
      </c>
      <c r="B33" s="640" t="s">
        <v>267</v>
      </c>
      <c r="C33" s="479"/>
      <c r="D33" s="480"/>
      <c r="E33" s="488">
        <f>-'[1]TB03-31-04(Final)'!G65</f>
        <v>11049613</v>
      </c>
      <c r="F33" s="479"/>
      <c r="G33" s="631"/>
      <c r="H33" s="344">
        <f>+'[7]Balance Sheet (pg 1)'!$D$31</f>
        <v>8776992</v>
      </c>
      <c r="I33" s="638"/>
    </row>
    <row r="34" spans="1:9" ht="15">
      <c r="A34" s="14">
        <v>114</v>
      </c>
      <c r="B34" s="640" t="s">
        <v>158</v>
      </c>
      <c r="C34" s="479"/>
      <c r="D34" s="480"/>
      <c r="E34" s="488">
        <f>-'[1]TB03-31-04(Final)'!G104</f>
        <v>6198399.7700000005</v>
      </c>
      <c r="F34" s="479"/>
      <c r="G34" s="631"/>
      <c r="H34" s="344">
        <f>+'[7]Balance Sheet (pg 1)'!$D$32</f>
        <v>5068927.600000001</v>
      </c>
      <c r="I34" s="638"/>
    </row>
    <row r="35" spans="1:9" ht="15">
      <c r="A35" s="14">
        <v>114</v>
      </c>
      <c r="B35" s="640" t="s">
        <v>159</v>
      </c>
      <c r="C35" s="479"/>
      <c r="D35" s="480"/>
      <c r="E35" s="488">
        <f>-'[1]TB03-31-04(Final)'!G121</f>
        <v>1364184.0999999999</v>
      </c>
      <c r="F35" s="479"/>
      <c r="G35" s="631"/>
      <c r="H35" s="344">
        <f>+'[7]Balance Sheet (pg 1)'!$D$33</f>
        <v>1302472.2</v>
      </c>
      <c r="I35" s="638"/>
    </row>
    <row r="36" spans="1:9" ht="15">
      <c r="A36" s="14">
        <v>114</v>
      </c>
      <c r="B36" s="640" t="s">
        <v>160</v>
      </c>
      <c r="C36" s="479"/>
      <c r="D36" s="480"/>
      <c r="E36" s="488">
        <f>-'[1]TB03-31-04(Final)'!G159</f>
        <v>524501</v>
      </c>
      <c r="F36" s="479"/>
      <c r="G36" s="631"/>
      <c r="H36" s="344">
        <f>+'[7]Balance Sheet (pg 1)'!$D$34</f>
        <v>394965.17999999993</v>
      </c>
      <c r="I36" s="638"/>
    </row>
    <row r="37" spans="1:9" ht="15">
      <c r="A37" s="14">
        <v>114</v>
      </c>
      <c r="B37" s="640" t="s">
        <v>161</v>
      </c>
      <c r="C37" s="480"/>
      <c r="D37" s="480"/>
      <c r="E37" s="488">
        <f>-'[1]TB03-31-04(Final)'!G193</f>
        <v>226567.97999999998</v>
      </c>
      <c r="F37" s="479"/>
      <c r="G37" s="631"/>
      <c r="H37" s="344">
        <f>+'[7]Balance Sheet (pg 1)'!$D$35</f>
        <v>127127.4</v>
      </c>
      <c r="I37" s="638"/>
    </row>
    <row r="38" spans="1:9" ht="15">
      <c r="A38" s="14">
        <v>5</v>
      </c>
      <c r="B38" s="640" t="s">
        <v>425</v>
      </c>
      <c r="C38" s="479"/>
      <c r="D38" s="480"/>
      <c r="E38" s="524">
        <f>-'[1]TB03-31-04(Final)'!G217</f>
        <v>330321.9</v>
      </c>
      <c r="F38" s="479"/>
      <c r="G38" s="631"/>
      <c r="H38" s="619">
        <f>+'[7]Balance Sheet (pg 1)'!$D$36-H27</f>
        <v>-293990.12999999995</v>
      </c>
      <c r="I38" s="638"/>
    </row>
    <row r="39" spans="2:9" ht="15" customHeight="1">
      <c r="B39" s="640"/>
      <c r="C39" s="479"/>
      <c r="D39" s="479"/>
      <c r="E39" s="488"/>
      <c r="F39" s="479"/>
      <c r="G39" s="631"/>
      <c r="H39" s="344"/>
      <c r="I39" s="638"/>
    </row>
    <row r="40" spans="2:9" ht="15" customHeight="1">
      <c r="B40" s="643" t="s">
        <v>384</v>
      </c>
      <c r="C40" s="479"/>
      <c r="D40" s="479"/>
      <c r="E40" s="480"/>
      <c r="F40" s="489">
        <f>SUM(E33:E38)</f>
        <v>19693587.75</v>
      </c>
      <c r="G40" s="631"/>
      <c r="H40" s="344"/>
      <c r="I40" s="642">
        <f>SUM(H33:H39)</f>
        <v>15376494.25</v>
      </c>
    </row>
    <row r="41" spans="2:9" ht="13.5" customHeight="1">
      <c r="B41" s="643"/>
      <c r="C41" s="479"/>
      <c r="D41" s="479"/>
      <c r="E41" s="480"/>
      <c r="F41" s="482"/>
      <c r="G41" s="631"/>
      <c r="H41" s="344"/>
      <c r="I41" s="638"/>
    </row>
    <row r="42" spans="2:9" ht="13.5" customHeight="1">
      <c r="B42" s="635" t="s">
        <v>269</v>
      </c>
      <c r="C42" s="479"/>
      <c r="D42" s="479"/>
      <c r="E42" s="480"/>
      <c r="F42" s="490">
        <f>F40+F30</f>
        <v>22618969.99</v>
      </c>
      <c r="G42" s="631"/>
      <c r="H42" s="344"/>
      <c r="I42" s="644">
        <f>I40+I30</f>
        <v>17325607.31</v>
      </c>
    </row>
    <row r="43" spans="2:9" ht="15">
      <c r="B43" s="636"/>
      <c r="C43" s="479"/>
      <c r="D43" s="479"/>
      <c r="E43" s="480"/>
      <c r="F43" s="479"/>
      <c r="G43" s="631"/>
      <c r="H43" s="344"/>
      <c r="I43" s="638"/>
    </row>
    <row r="44" spans="2:9" ht="15">
      <c r="B44" s="639" t="s">
        <v>270</v>
      </c>
      <c r="C44" s="479"/>
      <c r="D44" s="479"/>
      <c r="E44" s="480"/>
      <c r="F44" s="479"/>
      <c r="G44" s="631"/>
      <c r="H44" s="344"/>
      <c r="I44" s="638"/>
    </row>
    <row r="45" spans="2:9" ht="15">
      <c r="B45" s="640" t="s">
        <v>137</v>
      </c>
      <c r="C45" s="479"/>
      <c r="D45" s="479"/>
      <c r="E45" s="480"/>
      <c r="F45" s="489" t="e">
        <f>+F17-F42</f>
        <v>#REF!</v>
      </c>
      <c r="G45" s="631"/>
      <c r="H45" s="344"/>
      <c r="I45" s="642">
        <f>+'[7]Balance Sheet (pg 1)'!$E$44</f>
        <v>-8375390.010000002</v>
      </c>
    </row>
    <row r="46" spans="2:9" ht="15">
      <c r="B46" s="636"/>
      <c r="C46" s="480"/>
      <c r="D46" s="480"/>
      <c r="E46" s="480"/>
      <c r="F46" s="479"/>
      <c r="G46" s="631"/>
      <c r="H46" s="344"/>
      <c r="I46" s="638"/>
    </row>
    <row r="47" spans="2:9" ht="15.75" thickBot="1">
      <c r="B47" s="645" t="s">
        <v>271</v>
      </c>
      <c r="C47" s="646"/>
      <c r="D47" s="646"/>
      <c r="E47" s="646"/>
      <c r="F47" s="483" t="e">
        <f>F42+F45</f>
        <v>#REF!</v>
      </c>
      <c r="G47" s="647"/>
      <c r="H47" s="619"/>
      <c r="I47" s="648">
        <f>I42+I45</f>
        <v>8950217.299999997</v>
      </c>
    </row>
    <row r="48" spans="2:7" ht="15" thickTop="1">
      <c r="B48" s="15"/>
      <c r="C48" s="475"/>
      <c r="D48" s="475"/>
      <c r="E48" s="475"/>
      <c r="F48" s="475"/>
      <c r="G48" s="13"/>
    </row>
    <row r="49" spans="2:7" ht="14.25">
      <c r="B49" s="15"/>
      <c r="F49" s="475"/>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6" t="s">
        <v>254</v>
      </c>
      <c r="B1" s="1006"/>
      <c r="C1" s="1006"/>
      <c r="D1" s="1006"/>
      <c r="E1" s="1006"/>
      <c r="F1" s="1006"/>
      <c r="G1" s="1006"/>
      <c r="H1" s="1006"/>
    </row>
    <row r="2" spans="1:8" ht="19.5" customHeight="1">
      <c r="A2" s="1005"/>
      <c r="B2" s="1005"/>
      <c r="C2" s="1005"/>
      <c r="D2" s="1005"/>
      <c r="E2" s="1005"/>
      <c r="F2" s="1005"/>
      <c r="G2" s="1005"/>
      <c r="H2" s="1005"/>
    </row>
    <row r="3" spans="1:8" s="103" customFormat="1" ht="18.75">
      <c r="A3" s="1007" t="s">
        <v>388</v>
      </c>
      <c r="B3" s="1007"/>
      <c r="C3" s="1007"/>
      <c r="D3" s="1007"/>
      <c r="E3" s="1007"/>
      <c r="F3" s="1007"/>
      <c r="G3" s="1007"/>
      <c r="H3" s="1007"/>
    </row>
    <row r="4" spans="1:8" s="103" customFormat="1" ht="18.75">
      <c r="A4" s="1007" t="str">
        <f>+'(7)Premiums YTD8'!A4</f>
        <v>YTD PERIOD MARCH 31st, 2004</v>
      </c>
      <c r="B4" s="1007"/>
      <c r="C4" s="1007"/>
      <c r="D4" s="1007"/>
      <c r="E4" s="1007"/>
      <c r="F4" s="1007"/>
      <c r="G4" s="1007"/>
      <c r="H4" s="1007"/>
    </row>
    <row r="5" spans="1:8" s="103" customFormat="1" ht="16.5">
      <c r="A5" s="456"/>
      <c r="B5" s="378"/>
      <c r="C5" s="378"/>
      <c r="D5" s="457"/>
      <c r="E5" s="457"/>
      <c r="F5" s="457"/>
      <c r="G5" s="379"/>
      <c r="H5" s="457"/>
    </row>
    <row r="6" spans="1:8" ht="30" customHeight="1">
      <c r="A6" s="458"/>
      <c r="B6" s="588" t="s">
        <v>42</v>
      </c>
      <c r="C6" s="588" t="s">
        <v>46</v>
      </c>
      <c r="D6" s="588" t="s">
        <v>143</v>
      </c>
      <c r="E6" s="588" t="s">
        <v>216</v>
      </c>
      <c r="F6" s="588" t="s">
        <v>98</v>
      </c>
      <c r="G6" s="589" t="s">
        <v>236</v>
      </c>
      <c r="H6" s="589" t="s">
        <v>255</v>
      </c>
    </row>
    <row r="7" spans="1:8" s="127" customFormat="1" ht="15.75">
      <c r="A7" s="585" t="s">
        <v>389</v>
      </c>
      <c r="B7" s="459"/>
      <c r="C7" s="459"/>
      <c r="D7" s="460"/>
      <c r="E7" s="460"/>
      <c r="F7" s="460"/>
      <c r="G7" s="460"/>
      <c r="H7" s="460"/>
    </row>
    <row r="8" spans="1:8" s="127" customFormat="1" ht="15">
      <c r="A8" s="585" t="s">
        <v>390</v>
      </c>
      <c r="B8" s="377"/>
      <c r="C8" s="377"/>
      <c r="D8" s="460"/>
      <c r="E8" s="460"/>
      <c r="F8" s="460"/>
      <c r="G8" s="460"/>
      <c r="H8" s="460"/>
    </row>
    <row r="9" spans="1:9" ht="14.25">
      <c r="A9" s="586" t="s">
        <v>391</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1">
        <f>SUM(D9:F9)</f>
        <v>54975.26</v>
      </c>
      <c r="H9" s="481">
        <f>SUM(B9:F9)</f>
        <v>3052993.78</v>
      </c>
      <c r="I9" s="25"/>
    </row>
    <row r="10" spans="1:8" s="23" customFormat="1" ht="14.25">
      <c r="A10" s="586" t="s">
        <v>392</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86" t="s">
        <v>393</v>
      </c>
      <c r="B11" s="331">
        <f>+'[1]TB03-31-04(Final)'!F383</f>
        <v>1229</v>
      </c>
      <c r="C11" s="331" t="e">
        <f>+'[1]TB03-31-04(Final)'!F382+'[1]TB03-31-04(Final)'!F385</f>
        <v>#REF!</v>
      </c>
      <c r="D11" s="331" t="e">
        <f>+'[1]TB03-31-04(Final)'!F384</f>
        <v>#REF!</v>
      </c>
      <c r="E11" s="331">
        <v>0</v>
      </c>
      <c r="F11" s="331">
        <f>+'[1]TB03-31-04(Final)'!F381</f>
        <v>0</v>
      </c>
      <c r="G11" s="331" t="e">
        <f>SUM(D11:F11)</f>
        <v>#REF!</v>
      </c>
      <c r="H11" s="524" t="e">
        <f>SUM(B11:F11)</f>
        <v>#REF!</v>
      </c>
    </row>
    <row r="12" spans="1:10" s="23" customFormat="1" ht="15.75" thickBot="1">
      <c r="A12" s="455" t="s">
        <v>382</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1"/>
      <c r="B13" s="126"/>
      <c r="C13" s="126"/>
      <c r="D13" s="331"/>
      <c r="E13" s="331"/>
      <c r="F13" s="331"/>
      <c r="G13" s="331"/>
      <c r="H13" s="331"/>
      <c r="I13" s="23">
        <f>+'[1]TB03-31-04(Final)'!G407</f>
        <v>3783761.3799999994</v>
      </c>
      <c r="J13" s="23" t="e">
        <f>+H12-I13</f>
        <v>#REF!</v>
      </c>
    </row>
    <row r="14" spans="1:9" s="23" customFormat="1" ht="15">
      <c r="A14" s="455" t="s">
        <v>7</v>
      </c>
      <c r="B14" s="126"/>
      <c r="C14" s="126"/>
      <c r="D14" s="568"/>
      <c r="E14" s="568"/>
      <c r="F14" s="568"/>
      <c r="G14" s="331"/>
      <c r="H14" s="331"/>
      <c r="I14" s="287"/>
    </row>
    <row r="15" spans="1:8" s="23" customFormat="1" ht="14.25">
      <c r="A15" s="586" t="s">
        <v>394</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86" t="s">
        <v>395</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86" t="s">
        <v>396</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5" t="s">
        <v>382</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1"/>
      <c r="B19" s="126"/>
      <c r="C19" s="126"/>
      <c r="D19" s="331"/>
      <c r="E19" s="331"/>
      <c r="F19" s="331"/>
      <c r="G19" s="331"/>
      <c r="H19" s="331"/>
    </row>
    <row r="20" spans="1:8" s="23" customFormat="1" ht="15">
      <c r="A20" s="455" t="s">
        <v>204</v>
      </c>
      <c r="B20" s="312"/>
      <c r="C20" s="312"/>
      <c r="D20" s="331"/>
      <c r="E20" s="331"/>
      <c r="F20" s="331"/>
      <c r="G20" s="331"/>
      <c r="H20" s="331"/>
    </row>
    <row r="21" spans="1:8" s="23" customFormat="1" ht="14.25">
      <c r="A21" s="586" t="s">
        <v>394</v>
      </c>
      <c r="B21" s="126">
        <v>0</v>
      </c>
      <c r="C21" s="126">
        <v>3812746</v>
      </c>
      <c r="D21" s="331">
        <v>796384</v>
      </c>
      <c r="E21" s="331">
        <v>173012</v>
      </c>
      <c r="F21" s="331">
        <f>4+76330</f>
        <v>76334</v>
      </c>
      <c r="G21" s="331">
        <f>+'[3]Losses Incurred QTR'!$F$21</f>
        <v>149640.16</v>
      </c>
      <c r="H21" s="331">
        <f>SUM(B21:F21)</f>
        <v>4858476</v>
      </c>
    </row>
    <row r="22" spans="1:8" s="23" customFormat="1" ht="14.25">
      <c r="A22" s="586" t="s">
        <v>395</v>
      </c>
      <c r="B22" s="126">
        <v>0</v>
      </c>
      <c r="C22" s="126">
        <v>582573</v>
      </c>
      <c r="D22" s="331">
        <v>136274</v>
      </c>
      <c r="E22" s="331">
        <v>-982</v>
      </c>
      <c r="F22" s="331">
        <f>366+1967</f>
        <v>2333</v>
      </c>
      <c r="G22" s="331">
        <f>+'[3]Losses Incurred QTR'!$F$22</f>
        <v>60667.2</v>
      </c>
      <c r="H22" s="331">
        <f>SUM(B22:F22)-1</f>
        <v>720197</v>
      </c>
    </row>
    <row r="23" spans="1:8" s="23" customFormat="1" ht="14.25">
      <c r="A23" s="586" t="s">
        <v>396</v>
      </c>
      <c r="B23" s="126">
        <v>0</v>
      </c>
      <c r="C23" s="126">
        <v>8804</v>
      </c>
      <c r="D23" s="331">
        <v>0</v>
      </c>
      <c r="E23" s="331">
        <v>0</v>
      </c>
      <c r="F23" s="331">
        <v>0</v>
      </c>
      <c r="G23" s="331">
        <f>+'[3]Losses Incurred QTR'!$F$23</f>
        <v>-8764</v>
      </c>
      <c r="H23" s="331">
        <f>SUM(B23:F23)</f>
        <v>8804</v>
      </c>
    </row>
    <row r="24" spans="1:9" s="23" customFormat="1" ht="15.75" thickBot="1">
      <c r="A24" s="455" t="s">
        <v>382</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1"/>
      <c r="B25" s="126"/>
      <c r="C25" s="126"/>
      <c r="D25" s="331"/>
      <c r="E25" s="331"/>
      <c r="F25" s="331"/>
      <c r="G25" s="331"/>
      <c r="H25" s="331"/>
      <c r="I25" s="23">
        <f>+I18-I24</f>
        <v>2259279.2299999995</v>
      </c>
    </row>
    <row r="26" spans="1:9" s="23" customFormat="1" ht="15">
      <c r="A26" s="455" t="s">
        <v>432</v>
      </c>
      <c r="B26" s="126"/>
      <c r="C26" s="126"/>
      <c r="D26" s="331"/>
      <c r="E26" s="331"/>
      <c r="F26" s="331"/>
      <c r="G26" s="331"/>
      <c r="H26" s="331"/>
      <c r="I26" s="23" t="e">
        <f>+H12+I25</f>
        <v>#REF!</v>
      </c>
    </row>
    <row r="27" spans="1:8" s="23" customFormat="1" ht="14.25">
      <c r="A27" s="586" t="s">
        <v>394</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86" t="s">
        <v>395</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86" t="s">
        <v>396</v>
      </c>
      <c r="B29" s="488">
        <f>B11+(B17-B23)</f>
        <v>14377.069670959347</v>
      </c>
      <c r="C29" s="488" t="e">
        <f>C11+(C17-C23)-1</f>
        <v>#REF!</v>
      </c>
      <c r="D29" s="331" t="e">
        <f t="shared" si="1"/>
        <v>#REF!</v>
      </c>
      <c r="E29" s="331">
        <f t="shared" si="1"/>
        <v>0</v>
      </c>
      <c r="F29" s="331" t="e">
        <f t="shared" si="2"/>
        <v>#REF!</v>
      </c>
      <c r="G29" s="331" t="e">
        <f t="shared" si="2"/>
        <v>#REF!</v>
      </c>
      <c r="H29" s="331" t="e">
        <f>SUM(B29:F29)</f>
        <v>#REF!</v>
      </c>
    </row>
    <row r="30" spans="1:10" ht="15.75" thickBot="1">
      <c r="A30" s="455" t="s">
        <v>382</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8"/>
      <c r="B31" s="551"/>
      <c r="C31" s="551"/>
      <c r="D31" s="551"/>
      <c r="E31" s="551"/>
      <c r="F31" s="551"/>
      <c r="G31" s="551"/>
      <c r="H31" s="551"/>
      <c r="I31" s="114" t="e">
        <f>+I26-I30</f>
        <v>#REF!</v>
      </c>
      <c r="J31" s="109"/>
    </row>
    <row r="32" spans="1:10" ht="15">
      <c r="A32" s="458"/>
      <c r="B32" s="551"/>
      <c r="C32" s="551"/>
      <c r="D32" s="551"/>
      <c r="E32" s="551"/>
      <c r="F32" s="551"/>
      <c r="G32" s="551"/>
      <c r="H32" s="551"/>
      <c r="I32" s="114"/>
      <c r="J32" s="109"/>
    </row>
    <row r="33" spans="1:9" ht="30">
      <c r="A33" s="458"/>
      <c r="B33" s="590" t="s">
        <v>42</v>
      </c>
      <c r="C33" s="590" t="s">
        <v>46</v>
      </c>
      <c r="D33" s="591" t="s">
        <v>21</v>
      </c>
      <c r="E33" s="551"/>
      <c r="F33" s="551"/>
      <c r="G33" s="551"/>
      <c r="I33" s="110">
        <f>+'[1]TB03-31-04(Final)'!G462</f>
        <v>4105799.4900000007</v>
      </c>
    </row>
    <row r="34" spans="1:7" ht="18" customHeight="1">
      <c r="A34" s="587" t="s">
        <v>398</v>
      </c>
      <c r="B34" s="565"/>
      <c r="C34" s="565"/>
      <c r="D34" s="566"/>
      <c r="E34" s="566"/>
      <c r="F34" s="566"/>
      <c r="G34" s="481"/>
    </row>
    <row r="35" spans="1:7" ht="14.25">
      <c r="A35" s="586" t="s">
        <v>394</v>
      </c>
      <c r="B35" s="475">
        <f>+'[1](1)IBNR Cal13'!C27</f>
        <v>929888.0153114785</v>
      </c>
      <c r="C35" s="126">
        <v>0</v>
      </c>
      <c r="D35" s="359">
        <f>SUM(B35:C35)</f>
        <v>929888.0153114785</v>
      </c>
      <c r="E35" s="359"/>
      <c r="F35" s="359"/>
      <c r="G35" s="113"/>
    </row>
    <row r="36" spans="1:7" ht="14.25">
      <c r="A36" s="586" t="s">
        <v>395</v>
      </c>
      <c r="B36" s="126">
        <f>+'[1](1)IBNR Cal13'!C28</f>
        <v>302248.25796003203</v>
      </c>
      <c r="C36" s="126">
        <v>0</v>
      </c>
      <c r="D36" s="122">
        <f>SUM(B36:C36)</f>
        <v>302248.25796003203</v>
      </c>
      <c r="E36" s="304"/>
      <c r="F36" s="304"/>
      <c r="G36" s="122"/>
    </row>
    <row r="37" spans="1:7" ht="14.25">
      <c r="A37" s="586" t="s">
        <v>396</v>
      </c>
      <c r="B37" s="126">
        <f>+'[1](1)IBNR Cal13'!C29</f>
        <v>4148.069670959347</v>
      </c>
      <c r="C37" s="126">
        <v>0</v>
      </c>
      <c r="D37" s="122">
        <f>SUM(B37:C37)</f>
        <v>4148.069670959347</v>
      </c>
      <c r="E37" s="304"/>
      <c r="F37" s="304"/>
      <c r="G37" s="122"/>
    </row>
    <row r="38" spans="1:7" ht="15.75" thickBot="1">
      <c r="A38" s="455" t="s">
        <v>382</v>
      </c>
      <c r="B38" s="345">
        <f>SUM(B35:B37)</f>
        <v>1236284.34294247</v>
      </c>
      <c r="C38" s="129">
        <f>SUM(C35:C37)</f>
        <v>0</v>
      </c>
      <c r="D38" s="345">
        <f>SUM(D35:D37)+1</f>
        <v>1236285.34294247</v>
      </c>
      <c r="E38" s="567"/>
      <c r="F38" s="567"/>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134</v>
      </c>
      <c r="E50" s="321" t="s">
        <v>134</v>
      </c>
      <c r="F50" s="321" t="s">
        <v>134</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2" t="s">
        <v>254</v>
      </c>
      <c r="B1" s="462"/>
      <c r="C1" s="425"/>
      <c r="D1" s="463"/>
      <c r="E1" s="463"/>
      <c r="F1" s="464"/>
      <c r="G1" s="464"/>
      <c r="H1" s="464"/>
    </row>
    <row r="2" spans="1:9" ht="18.75">
      <c r="A2" s="427"/>
      <c r="B2" s="427"/>
      <c r="C2" s="452"/>
      <c r="D2" s="452"/>
      <c r="E2" s="452"/>
      <c r="F2" s="428"/>
      <c r="G2" s="416"/>
      <c r="H2" s="416"/>
      <c r="I2" s="18"/>
    </row>
    <row r="3" spans="1:9" ht="15">
      <c r="A3" s="465" t="s">
        <v>399</v>
      </c>
      <c r="B3" s="465"/>
      <c r="C3" s="430"/>
      <c r="D3" s="466"/>
      <c r="E3" s="466"/>
      <c r="F3" s="416"/>
      <c r="G3" s="416"/>
      <c r="H3" s="416"/>
      <c r="I3" s="18"/>
    </row>
    <row r="4" spans="1:9" ht="15">
      <c r="A4" s="465" t="s">
        <v>400</v>
      </c>
      <c r="B4" s="465"/>
      <c r="C4" s="430"/>
      <c r="D4" s="466"/>
      <c r="E4" s="466"/>
      <c r="F4" s="416"/>
      <c r="G4" s="416"/>
      <c r="H4" s="416"/>
      <c r="I4" s="18"/>
    </row>
    <row r="5" spans="1:9" ht="15">
      <c r="A5" s="465" t="str">
        <f>+'(6)Losses Incurred YTD10'!A4</f>
        <v>YTD PERIOD MARCH 31st, 2004</v>
      </c>
      <c r="B5" s="465"/>
      <c r="C5" s="430"/>
      <c r="D5" s="466"/>
      <c r="E5" s="466"/>
      <c r="F5" s="416"/>
      <c r="G5" s="416"/>
      <c r="H5" s="416"/>
      <c r="I5" s="18"/>
    </row>
    <row r="6" spans="1:9" ht="15.75">
      <c r="A6" s="467"/>
      <c r="B6" s="467"/>
      <c r="C6" s="454"/>
      <c r="D6" s="416"/>
      <c r="E6" s="416"/>
      <c r="F6" s="416"/>
      <c r="G6" s="416"/>
      <c r="H6" s="416"/>
      <c r="I6" s="18"/>
    </row>
    <row r="7" spans="1:9" ht="45">
      <c r="A7" s="468"/>
      <c r="B7" s="375" t="s">
        <v>42</v>
      </c>
      <c r="C7" s="375" t="s">
        <v>46</v>
      </c>
      <c r="D7" s="469" t="s">
        <v>143</v>
      </c>
      <c r="E7" s="469" t="s">
        <v>216</v>
      </c>
      <c r="F7" s="469" t="s">
        <v>98</v>
      </c>
      <c r="G7" s="469" t="s">
        <v>236</v>
      </c>
      <c r="H7" s="470" t="s">
        <v>255</v>
      </c>
      <c r="I7" s="18"/>
    </row>
    <row r="8" spans="1:9" ht="30">
      <c r="A8" s="471" t="s">
        <v>401</v>
      </c>
      <c r="B8" s="374"/>
      <c r="C8" s="374"/>
      <c r="D8" s="382"/>
      <c r="E8" s="382"/>
      <c r="F8" s="382"/>
      <c r="G8" s="382"/>
      <c r="H8" s="472"/>
      <c r="I8" s="18"/>
    </row>
    <row r="9" spans="1:39" ht="14.25">
      <c r="A9" s="371" t="s">
        <v>379</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380</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381</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3" t="s">
        <v>382</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4" t="s">
        <v>9</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379</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380</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381</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3" t="s">
        <v>382</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4" t="s">
        <v>203</v>
      </c>
      <c r="B20" s="312" t="s">
        <v>253</v>
      </c>
      <c r="C20" s="312" t="s">
        <v>253</v>
      </c>
      <c r="D20" s="569"/>
      <c r="E20" s="569"/>
      <c r="F20" s="569"/>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379</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402</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381</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3" t="s">
        <v>382</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4" t="s">
        <v>403</v>
      </c>
      <c r="B26" s="126"/>
      <c r="C26" s="126"/>
      <c r="D26" s="569"/>
      <c r="E26" s="569"/>
      <c r="F26" s="569"/>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379</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380</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381</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3" t="s">
        <v>382</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10" t="s">
        <v>254</v>
      </c>
      <c r="B1" s="1010"/>
      <c r="C1" s="1010"/>
      <c r="D1" s="1010"/>
      <c r="E1" s="1010"/>
      <c r="F1" s="338" t="s">
        <v>34</v>
      </c>
      <c r="G1" s="339" t="s">
        <v>191</v>
      </c>
      <c r="H1" s="149" t="s">
        <v>410</v>
      </c>
      <c r="I1" s="150" t="s">
        <v>34</v>
      </c>
      <c r="J1" s="150"/>
      <c r="K1" s="189" t="s">
        <v>249</v>
      </c>
      <c r="L1" s="231"/>
      <c r="M1" s="231"/>
      <c r="N1" s="231"/>
    </row>
    <row r="2" spans="1:11" ht="20.25">
      <c r="A2" s="1008" t="s">
        <v>251</v>
      </c>
      <c r="B2" s="1008"/>
      <c r="C2" s="1008"/>
      <c r="D2" s="1008"/>
      <c r="E2" s="1008"/>
      <c r="F2" s="151"/>
      <c r="G2" s="79"/>
      <c r="H2" s="75" t="s">
        <v>411</v>
      </c>
      <c r="I2" s="152"/>
      <c r="K2" s="190"/>
    </row>
    <row r="3" spans="1:11" ht="20.25">
      <c r="A3" s="1009">
        <v>37802</v>
      </c>
      <c r="B3" s="1009"/>
      <c r="C3" s="1009"/>
      <c r="D3" s="1009"/>
      <c r="E3" s="1009"/>
      <c r="F3" s="151"/>
      <c r="G3" s="153"/>
      <c r="H3" s="76"/>
      <c r="K3" s="190" t="s">
        <v>264</v>
      </c>
    </row>
    <row r="4" spans="1:11" ht="15.75">
      <c r="A4" s="2"/>
      <c r="B4" s="2" t="s">
        <v>188</v>
      </c>
      <c r="C4" s="2"/>
      <c r="D4" s="80"/>
      <c r="E4" s="80"/>
      <c r="F4" s="154" t="s">
        <v>412</v>
      </c>
      <c r="H4" s="76"/>
      <c r="K4" s="190"/>
    </row>
    <row r="5" spans="1:11" ht="15.75">
      <c r="A5" s="81"/>
      <c r="B5" s="82" t="s">
        <v>407</v>
      </c>
      <c r="C5" s="3" t="s">
        <v>408</v>
      </c>
      <c r="D5" s="83" t="s">
        <v>409</v>
      </c>
      <c r="E5" s="80"/>
      <c r="F5" s="155" t="s">
        <v>413</v>
      </c>
      <c r="G5" s="77" t="s">
        <v>414</v>
      </c>
      <c r="H5" s="75" t="s">
        <v>415</v>
      </c>
      <c r="I5" s="78" t="s">
        <v>416</v>
      </c>
      <c r="J5" s="75"/>
      <c r="K5" s="191" t="s">
        <v>417</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47</v>
      </c>
      <c r="H8" s="76" t="s">
        <v>53</v>
      </c>
      <c r="I8" s="76">
        <f>D9</f>
        <v>737754.17</v>
      </c>
      <c r="J8" s="84"/>
      <c r="K8" s="190"/>
      <c r="L8" s="230"/>
      <c r="M8" s="230"/>
      <c r="N8" s="230"/>
    </row>
    <row r="9" spans="1:14" ht="15.75">
      <c r="A9" s="87" t="s">
        <v>379</v>
      </c>
      <c r="B9" s="199">
        <f>-'[1](1)IBNR Cal13'!C21</f>
        <v>0</v>
      </c>
      <c r="C9" s="199">
        <v>-737754.17</v>
      </c>
      <c r="D9" s="199">
        <f>B9-C9</f>
        <v>737754.17</v>
      </c>
      <c r="E9" s="160"/>
      <c r="F9" s="161"/>
      <c r="G9" s="76" t="s">
        <v>48</v>
      </c>
      <c r="H9" s="76" t="s">
        <v>54</v>
      </c>
      <c r="I9" s="76">
        <f>D10</f>
        <v>272517.95</v>
      </c>
      <c r="J9" s="84"/>
      <c r="K9" s="190"/>
      <c r="L9" s="230"/>
      <c r="M9" s="230"/>
      <c r="N9" s="230"/>
    </row>
    <row r="10" spans="1:14" ht="15.75">
      <c r="A10" s="87" t="s">
        <v>402</v>
      </c>
      <c r="B10" s="199">
        <f>-'[1](1)IBNR Cal13'!C22</f>
        <v>0</v>
      </c>
      <c r="C10" s="199">
        <v>-272517.95</v>
      </c>
      <c r="D10" s="199">
        <f>B10-C10</f>
        <v>272517.95</v>
      </c>
      <c r="E10" s="160"/>
      <c r="F10" s="161"/>
      <c r="G10" s="76" t="s">
        <v>49</v>
      </c>
      <c r="H10" s="76" t="s">
        <v>55</v>
      </c>
      <c r="I10" s="76">
        <f>D11</f>
        <v>4757.34</v>
      </c>
      <c r="J10" s="84"/>
      <c r="K10" s="190"/>
      <c r="L10" s="230"/>
      <c r="M10" s="230"/>
      <c r="N10" s="230"/>
    </row>
    <row r="11" spans="1:14" ht="15.75">
      <c r="A11" s="87" t="s">
        <v>381</v>
      </c>
      <c r="B11" s="293">
        <f>-'[1](1)IBNR Cal13'!C23</f>
        <v>0</v>
      </c>
      <c r="C11" s="199">
        <v>-4757.34</v>
      </c>
      <c r="D11" s="199">
        <f>B11-C11</f>
        <v>4757.34</v>
      </c>
      <c r="E11" s="160"/>
      <c r="F11" s="161"/>
      <c r="G11" s="76" t="s">
        <v>50</v>
      </c>
      <c r="H11" s="76" t="s">
        <v>56</v>
      </c>
      <c r="J11" s="84"/>
      <c r="K11" s="190">
        <f>I8</f>
        <v>737754.17</v>
      </c>
      <c r="L11" s="230"/>
      <c r="M11" s="230"/>
      <c r="N11" s="230"/>
    </row>
    <row r="12" spans="1:14" ht="15.75">
      <c r="A12" s="87"/>
      <c r="B12" s="199"/>
      <c r="C12" s="200"/>
      <c r="D12" s="199"/>
      <c r="E12" s="160"/>
      <c r="F12" s="161"/>
      <c r="G12" s="76" t="s">
        <v>51</v>
      </c>
      <c r="H12" s="76" t="s">
        <v>57</v>
      </c>
      <c r="J12" s="84"/>
      <c r="K12" s="190">
        <f>I9</f>
        <v>272517.95</v>
      </c>
      <c r="L12" s="230"/>
      <c r="M12" s="230"/>
      <c r="N12" s="230"/>
    </row>
    <row r="13" spans="1:14" ht="15.75">
      <c r="A13" s="87" t="s">
        <v>61</v>
      </c>
      <c r="B13" s="201">
        <f>SUM(B9:B12)</f>
        <v>0</v>
      </c>
      <c r="C13" s="201">
        <f>SUM(C9:C12)</f>
        <v>-1015029.4600000001</v>
      </c>
      <c r="D13" s="201">
        <f>SUM(D9:D12)</f>
        <v>1015029.4600000001</v>
      </c>
      <c r="E13" s="160"/>
      <c r="F13" s="161"/>
      <c r="G13" s="76" t="s">
        <v>52</v>
      </c>
      <c r="H13" s="76" t="s">
        <v>58</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36</v>
      </c>
      <c r="H15" s="76" t="s">
        <v>241</v>
      </c>
      <c r="J15" s="84"/>
      <c r="K15" s="190">
        <f>-D16</f>
        <v>664860.7953114785</v>
      </c>
      <c r="L15" s="230"/>
      <c r="M15" s="230"/>
      <c r="N15" s="230"/>
    </row>
    <row r="16" spans="1:14" ht="15.75">
      <c r="A16" s="87" t="s">
        <v>379</v>
      </c>
      <c r="B16" s="199">
        <f>-'[1](1)IBNR Cal13'!C27</f>
        <v>-929888.0153114785</v>
      </c>
      <c r="C16" s="199">
        <v>-265027.22</v>
      </c>
      <c r="D16" s="199">
        <f>B16-C16</f>
        <v>-664860.7953114785</v>
      </c>
      <c r="E16" s="160"/>
      <c r="F16" s="161"/>
      <c r="G16" s="76" t="s">
        <v>37</v>
      </c>
      <c r="H16" s="76" t="s">
        <v>242</v>
      </c>
      <c r="J16" s="84"/>
      <c r="K16" s="190">
        <f>-D17</f>
        <v>216633.17796003202</v>
      </c>
      <c r="L16" s="230"/>
      <c r="M16" s="230"/>
      <c r="N16" s="230"/>
    </row>
    <row r="17" spans="1:14" ht="15.75">
      <c r="A17" s="87" t="s">
        <v>402</v>
      </c>
      <c r="B17" s="199">
        <f>-'[1](1)IBNR Cal13'!C28</f>
        <v>-302248.25796003203</v>
      </c>
      <c r="C17" s="199">
        <v>-85615.08</v>
      </c>
      <c r="D17" s="199">
        <f>B17-C17</f>
        <v>-216633.17796003202</v>
      </c>
      <c r="E17" s="160"/>
      <c r="F17" s="161"/>
      <c r="G17" s="76" t="s">
        <v>38</v>
      </c>
      <c r="H17" s="76" t="s">
        <v>243</v>
      </c>
      <c r="J17" s="84"/>
      <c r="K17" s="190">
        <f>-D18</f>
        <v>2832.0896709593467</v>
      </c>
      <c r="L17" s="230"/>
      <c r="M17" s="230"/>
      <c r="N17" s="230"/>
    </row>
    <row r="18" spans="1:14" ht="15.75">
      <c r="A18" s="87" t="s">
        <v>381</v>
      </c>
      <c r="B18" s="199">
        <f>-'[1](1)IBNR Cal13'!C29</f>
        <v>-4148.069670959347</v>
      </c>
      <c r="C18" s="199">
        <v>-1315.98</v>
      </c>
      <c r="D18" s="199">
        <f>B18-C18</f>
        <v>-2832.0896709593467</v>
      </c>
      <c r="E18" s="160"/>
      <c r="F18" s="161"/>
      <c r="G18" s="76" t="s">
        <v>39</v>
      </c>
      <c r="H18" s="76" t="s">
        <v>244</v>
      </c>
      <c r="I18" s="76">
        <f>K15</f>
        <v>664860.7953114785</v>
      </c>
      <c r="J18" s="84"/>
      <c r="K18" s="190"/>
      <c r="L18" s="230"/>
      <c r="M18" s="230"/>
      <c r="N18" s="230"/>
    </row>
    <row r="19" spans="1:14" ht="15.75">
      <c r="A19" s="89"/>
      <c r="B19" s="199"/>
      <c r="C19" s="200"/>
      <c r="D19" s="199"/>
      <c r="E19" s="160"/>
      <c r="F19" s="161"/>
      <c r="G19" s="76" t="s">
        <v>40</v>
      </c>
      <c r="H19" s="76" t="s">
        <v>245</v>
      </c>
      <c r="I19" s="76">
        <f>K16</f>
        <v>216633.17796003202</v>
      </c>
      <c r="J19" s="84"/>
      <c r="K19" s="190"/>
      <c r="L19" s="230"/>
      <c r="M19" s="230"/>
      <c r="N19" s="230"/>
    </row>
    <row r="20" spans="1:14" ht="15.75">
      <c r="A20" s="87" t="s">
        <v>61</v>
      </c>
      <c r="B20" s="201">
        <f>SUM(B16:B19)</f>
        <v>-1236284.34294247</v>
      </c>
      <c r="C20" s="201">
        <f>SUM(C16:C19)</f>
        <v>-351958.27999999997</v>
      </c>
      <c r="D20" s="201">
        <f>SUM(D16:D19)</f>
        <v>-884326.06294247</v>
      </c>
      <c r="E20" s="160"/>
      <c r="F20" s="161"/>
      <c r="G20" s="76" t="s">
        <v>41</v>
      </c>
      <c r="H20" s="76" t="s">
        <v>246</v>
      </c>
      <c r="I20" s="368">
        <f>K17</f>
        <v>2832.0896709593467</v>
      </c>
      <c r="J20" s="84"/>
      <c r="K20" s="190"/>
      <c r="L20" s="80"/>
      <c r="M20" s="80"/>
      <c r="N20" s="80"/>
    </row>
    <row r="21" spans="1:11" ht="16.5" thickBot="1">
      <c r="A21" s="89"/>
      <c r="B21" s="160"/>
      <c r="C21" s="162"/>
      <c r="D21" s="160"/>
      <c r="E21" s="87"/>
      <c r="F21" s="66" t="s">
        <v>418</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252</v>
      </c>
      <c r="B23" s="270">
        <f>B13+B20</f>
        <v>-1236284.34294247</v>
      </c>
      <c r="C23" s="270">
        <f>C13+C20</f>
        <v>-1366987.74</v>
      </c>
      <c r="D23" s="270">
        <f>D13+D20</f>
        <v>130703.39705753012</v>
      </c>
      <c r="E23" s="165"/>
      <c r="F23" s="66" t="s">
        <v>419</v>
      </c>
      <c r="G23" s="67" t="s">
        <v>247</v>
      </c>
      <c r="H23" s="10"/>
      <c r="I23" s="169"/>
      <c r="J23" s="169"/>
      <c r="K23" s="195"/>
    </row>
    <row r="24" spans="1:11" ht="16.5" thickTop="1">
      <c r="A24" s="87"/>
      <c r="B24" s="87" t="s">
        <v>234</v>
      </c>
      <c r="C24" s="369" t="s">
        <v>105</v>
      </c>
      <c r="D24" s="87"/>
      <c r="E24" s="90"/>
      <c r="F24" s="66" t="s">
        <v>250</v>
      </c>
      <c r="G24" s="67" t="s">
        <v>248</v>
      </c>
      <c r="H24" s="67"/>
      <c r="I24" s="169"/>
      <c r="J24" s="169"/>
      <c r="K24" s="195" t="s">
        <v>264</v>
      </c>
    </row>
    <row r="25" spans="1:11" ht="15.75">
      <c r="A25" s="2"/>
      <c r="B25" s="370" t="s">
        <v>95</v>
      </c>
      <c r="C25" s="370" t="s">
        <v>96</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413</v>
      </c>
      <c r="J29" s="196"/>
      <c r="K29" s="195"/>
    </row>
    <row r="30" spans="1:11" ht="15.75">
      <c r="A30" s="2"/>
      <c r="B30" s="90"/>
      <c r="C30" s="90"/>
      <c r="D30" s="90"/>
      <c r="E30" s="90"/>
      <c r="F30" s="66" t="s">
        <v>420</v>
      </c>
      <c r="G30" s="67" t="s">
        <v>64</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62</v>
      </c>
      <c r="G33" s="67" t="s">
        <v>456</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421</v>
      </c>
      <c r="G36" s="67" t="s">
        <v>63</v>
      </c>
      <c r="H36" s="67"/>
      <c r="I36" s="196"/>
      <c r="J36" s="196"/>
      <c r="K36" s="195"/>
    </row>
    <row r="37" spans="1:11" ht="15.75">
      <c r="A37" s="2"/>
      <c r="B37" s="2"/>
      <c r="C37" s="2"/>
      <c r="D37" s="2"/>
      <c r="E37" s="2"/>
      <c r="F37" s="161"/>
      <c r="H37" s="67"/>
      <c r="I37" s="196"/>
      <c r="J37" s="196" t="s">
        <v>424</v>
      </c>
      <c r="K37" s="355"/>
    </row>
    <row r="38" spans="1:11" ht="16.5" thickBot="1">
      <c r="A38" s="2"/>
      <c r="B38" s="2"/>
      <c r="C38" s="2"/>
      <c r="D38" s="2"/>
      <c r="E38" s="2"/>
      <c r="F38" s="73"/>
      <c r="G38" s="72"/>
      <c r="H38" s="72"/>
      <c r="I38" s="196"/>
      <c r="J38" s="196"/>
      <c r="K38" s="195"/>
    </row>
    <row r="39" spans="1:14" ht="16.5" thickBot="1">
      <c r="A39" s="2"/>
      <c r="B39" s="2"/>
      <c r="C39" s="2"/>
      <c r="D39" s="2"/>
      <c r="E39" s="2"/>
      <c r="F39" s="294" t="s">
        <v>423</v>
      </c>
      <c r="G39" s="72" t="s">
        <v>233</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8" t="s">
        <v>254</v>
      </c>
      <c r="B1" s="948"/>
      <c r="C1" s="948"/>
      <c r="D1" s="948"/>
      <c r="E1" s="948"/>
      <c r="F1" s="948"/>
      <c r="G1" s="948"/>
      <c r="H1" s="1012" t="s">
        <v>410</v>
      </c>
      <c r="I1" s="1013"/>
      <c r="J1" s="1013"/>
      <c r="K1" s="1013"/>
      <c r="L1" s="1013"/>
      <c r="M1" s="1014"/>
      <c r="O1" s="224"/>
    </row>
    <row r="2" spans="1:15" s="18" customFormat="1" ht="18.75">
      <c r="A2" s="1017"/>
      <c r="B2" s="1017"/>
      <c r="C2" s="1017"/>
      <c r="D2" s="1017"/>
      <c r="E2" s="1017"/>
      <c r="F2" s="1017"/>
      <c r="G2" s="1017"/>
      <c r="H2" s="1015" t="s">
        <v>411</v>
      </c>
      <c r="I2" s="1011"/>
      <c r="J2" s="1011"/>
      <c r="K2" s="1011"/>
      <c r="L2" s="1011"/>
      <c r="M2" s="1016"/>
      <c r="O2" s="225"/>
    </row>
    <row r="3" spans="1:13" ht="12.75">
      <c r="A3" s="51"/>
      <c r="B3" s="52"/>
      <c r="C3" s="52"/>
      <c r="D3" s="205"/>
      <c r="E3" s="52"/>
      <c r="F3" s="52"/>
      <c r="G3" s="52"/>
      <c r="H3" s="66" t="s">
        <v>15</v>
      </c>
      <c r="I3" s="10" t="s">
        <v>459</v>
      </c>
      <c r="J3" s="10"/>
      <c r="K3" s="265"/>
      <c r="L3" s="179" t="s">
        <v>457</v>
      </c>
      <c r="M3" s="178" t="s">
        <v>461</v>
      </c>
    </row>
    <row r="4" spans="1:15" s="54" customFormat="1" ht="15.75">
      <c r="A4" s="1011" t="s">
        <v>189</v>
      </c>
      <c r="B4" s="1011"/>
      <c r="C4" s="1011"/>
      <c r="D4" s="1011"/>
      <c r="E4" s="1011"/>
      <c r="F4" s="1011"/>
      <c r="G4" s="1011"/>
      <c r="H4" s="66" t="s">
        <v>412</v>
      </c>
      <c r="I4" s="67"/>
      <c r="J4" s="67"/>
      <c r="K4" s="266"/>
      <c r="L4" s="179"/>
      <c r="M4" s="180"/>
      <c r="O4" s="226"/>
    </row>
    <row r="5" spans="1:16" s="54" customFormat="1" ht="15.75">
      <c r="A5" s="1011" t="s">
        <v>12</v>
      </c>
      <c r="B5" s="1011"/>
      <c r="C5" s="1011"/>
      <c r="D5" s="1011"/>
      <c r="E5" s="1011"/>
      <c r="F5" s="1011"/>
      <c r="G5" s="1011"/>
      <c r="H5" s="66" t="s">
        <v>413</v>
      </c>
      <c r="I5" s="67" t="s">
        <v>414</v>
      </c>
      <c r="J5" s="67" t="s">
        <v>415</v>
      </c>
      <c r="K5" s="266" t="s">
        <v>416</v>
      </c>
      <c r="L5" s="177"/>
      <c r="M5" s="180" t="s">
        <v>417</v>
      </c>
      <c r="O5" s="226"/>
      <c r="P5" s="226"/>
    </row>
    <row r="6" spans="1:16" ht="12.75">
      <c r="A6" s="55"/>
      <c r="B6" s="55"/>
      <c r="C6" s="55"/>
      <c r="D6" s="206"/>
      <c r="E6" s="55"/>
      <c r="F6" s="55"/>
      <c r="G6" s="55"/>
      <c r="H6" s="68"/>
      <c r="I6" s="69"/>
      <c r="J6" s="69"/>
      <c r="K6" s="267"/>
      <c r="L6" s="181"/>
      <c r="M6" s="182"/>
      <c r="O6" s="69"/>
      <c r="P6" s="69"/>
    </row>
    <row r="7" spans="1:16" ht="38.25">
      <c r="A7" s="56"/>
      <c r="B7" s="57" t="s">
        <v>443</v>
      </c>
      <c r="C7" s="57" t="s">
        <v>444</v>
      </c>
      <c r="D7" s="207" t="s">
        <v>445</v>
      </c>
      <c r="E7" s="57"/>
      <c r="F7" s="57" t="s">
        <v>201</v>
      </c>
      <c r="G7" s="57" t="s">
        <v>446</v>
      </c>
      <c r="H7" s="70">
        <v>37621</v>
      </c>
      <c r="I7" s="10" t="s">
        <v>451</v>
      </c>
      <c r="J7" s="10" t="s">
        <v>222</v>
      </c>
      <c r="K7" s="265">
        <f>+F23</f>
        <v>2206.52</v>
      </c>
      <c r="L7" s="181"/>
      <c r="M7" s="178"/>
      <c r="P7" s="223"/>
    </row>
    <row r="8" spans="1:13" ht="12.75" hidden="1">
      <c r="A8" s="10"/>
      <c r="B8" s="10"/>
      <c r="C8" s="10"/>
      <c r="D8" s="208"/>
      <c r="E8" s="58"/>
      <c r="F8" s="58"/>
      <c r="G8" s="58"/>
      <c r="H8" s="65"/>
      <c r="I8" s="10" t="s">
        <v>230</v>
      </c>
      <c r="J8" s="10" t="s">
        <v>222</v>
      </c>
      <c r="K8" s="265">
        <f>+F29</f>
        <v>55.86</v>
      </c>
      <c r="L8" s="181"/>
      <c r="M8" s="178"/>
    </row>
    <row r="9" spans="1:16" ht="12.75" hidden="1">
      <c r="A9" s="10"/>
      <c r="B9" s="64"/>
      <c r="C9" s="64"/>
      <c r="D9" s="208"/>
      <c r="E9" s="58"/>
      <c r="F9" s="58"/>
      <c r="G9" s="58"/>
      <c r="H9" s="65"/>
      <c r="I9" s="10" t="s">
        <v>224</v>
      </c>
      <c r="J9" s="10" t="s">
        <v>222</v>
      </c>
      <c r="K9" s="265">
        <f>+F35</f>
        <v>51079.75</v>
      </c>
      <c r="L9" s="181"/>
      <c r="M9" s="178"/>
      <c r="P9" s="223"/>
    </row>
    <row r="10" spans="1:13" ht="12.75" hidden="1">
      <c r="A10" s="59"/>
      <c r="B10" s="63"/>
      <c r="C10" s="63"/>
      <c r="D10" s="219"/>
      <c r="E10" s="60"/>
      <c r="F10" s="60"/>
      <c r="G10" s="60"/>
      <c r="H10" s="65"/>
      <c r="I10" s="10" t="s">
        <v>3</v>
      </c>
      <c r="J10" s="10" t="s">
        <v>222</v>
      </c>
      <c r="K10" s="265">
        <f>+F41</f>
        <v>60568.8</v>
      </c>
      <c r="L10" s="181"/>
      <c r="M10" s="178"/>
    </row>
    <row r="11" spans="1:16" ht="12.75" hidden="1">
      <c r="A11" s="10"/>
      <c r="B11" s="212"/>
      <c r="C11" s="271"/>
      <c r="D11" s="208"/>
      <c r="E11" s="204"/>
      <c r="F11" s="282"/>
      <c r="G11" s="212"/>
      <c r="H11" s="65"/>
      <c r="I11" s="10" t="s">
        <v>231</v>
      </c>
      <c r="J11" s="10" t="s">
        <v>223</v>
      </c>
      <c r="K11" s="265">
        <f>+F30</f>
        <v>0</v>
      </c>
      <c r="L11" s="181"/>
      <c r="M11" s="178"/>
      <c r="P11" s="223"/>
    </row>
    <row r="12" spans="1:16" ht="12.75" hidden="1">
      <c r="A12" s="10"/>
      <c r="B12" s="212"/>
      <c r="C12" s="271"/>
      <c r="D12" s="208"/>
      <c r="E12" s="204"/>
      <c r="F12" s="284"/>
      <c r="G12" s="212"/>
      <c r="H12" s="65"/>
      <c r="I12" s="10" t="s">
        <v>32</v>
      </c>
      <c r="J12" s="10" t="s">
        <v>223</v>
      </c>
      <c r="K12" s="265">
        <f>+F36</f>
        <v>2606.21</v>
      </c>
      <c r="L12" s="181"/>
      <c r="M12" s="178"/>
      <c r="P12" s="223"/>
    </row>
    <row r="13" spans="1:13" ht="12.75" hidden="1">
      <c r="A13" s="10"/>
      <c r="B13" s="212"/>
      <c r="C13" s="272"/>
      <c r="D13" s="208"/>
      <c r="E13" s="204"/>
      <c r="F13" s="284"/>
      <c r="G13" s="212"/>
      <c r="H13" s="65"/>
      <c r="I13" s="10" t="s">
        <v>4</v>
      </c>
      <c r="J13" s="10" t="s">
        <v>223</v>
      </c>
      <c r="K13" s="265">
        <f>+F42</f>
        <v>23392.86</v>
      </c>
      <c r="L13" s="181"/>
      <c r="M13" s="178"/>
    </row>
    <row r="14" spans="2:16" ht="12.75" hidden="1">
      <c r="B14" s="174"/>
      <c r="C14" s="273"/>
      <c r="D14" s="208"/>
      <c r="E14" s="214"/>
      <c r="F14" s="283"/>
      <c r="G14" s="214"/>
      <c r="H14" s="65"/>
      <c r="I14" s="10" t="s">
        <v>225</v>
      </c>
      <c r="J14" s="10" t="s">
        <v>197</v>
      </c>
      <c r="K14" s="265">
        <f>+F37</f>
        <v>0</v>
      </c>
      <c r="L14" s="234"/>
      <c r="M14" s="235"/>
      <c r="P14" s="223"/>
    </row>
    <row r="15" spans="2:13" ht="12.75">
      <c r="B15" s="175"/>
      <c r="C15" s="274"/>
      <c r="D15" s="219"/>
      <c r="E15" s="204"/>
      <c r="F15" s="277"/>
      <c r="G15" s="204"/>
      <c r="H15" s="65"/>
      <c r="I15" s="10"/>
      <c r="J15" s="10"/>
      <c r="K15" s="265"/>
      <c r="L15" s="181"/>
      <c r="M15" s="178"/>
    </row>
    <row r="16" spans="1:13" ht="12.75">
      <c r="A16" s="59" t="s">
        <v>240</v>
      </c>
      <c r="B16" s="175"/>
      <c r="C16" s="175"/>
      <c r="D16" s="219"/>
      <c r="E16" s="204"/>
      <c r="F16" s="277"/>
      <c r="G16" s="204"/>
      <c r="H16" s="65"/>
      <c r="I16" s="10"/>
      <c r="J16" s="10"/>
      <c r="K16" s="265"/>
      <c r="L16" s="181"/>
      <c r="M16" s="178"/>
    </row>
    <row r="17" spans="1:13" ht="12.75">
      <c r="A17" s="10" t="s">
        <v>447</v>
      </c>
      <c r="B17" s="212">
        <f>+'[1]TB3-31-04 (Pre)'!G469</f>
        <v>0</v>
      </c>
      <c r="C17" s="212">
        <f>SUM('[1]TB03-31-04(Final)'!F361:F364)</f>
        <v>0</v>
      </c>
      <c r="D17" s="769" t="e">
        <f>C17/C20</f>
        <v>#DIV/0!</v>
      </c>
      <c r="E17" s="204"/>
      <c r="F17" s="275" t="e">
        <f>SUM('[1]TB03-31-04(Final)'!F523:F524)</f>
        <v>#REF!</v>
      </c>
      <c r="G17" s="212" t="e">
        <f>+B17+F17</f>
        <v>#REF!</v>
      </c>
      <c r="H17" s="237" t="s">
        <v>13</v>
      </c>
      <c r="I17" s="10" t="s">
        <v>453</v>
      </c>
      <c r="J17" s="10" t="s">
        <v>454</v>
      </c>
      <c r="K17" s="265"/>
      <c r="L17" s="177"/>
      <c r="M17" s="178">
        <f>SUM(K7:K17)+0.01</f>
        <v>139910.01</v>
      </c>
    </row>
    <row r="18" spans="1:16" ht="12.75">
      <c r="A18" s="10" t="s">
        <v>448</v>
      </c>
      <c r="B18" s="212" t="e">
        <f>+'[1]TB03-31-04(Final)'!F469+'[1]TB03-31-04(Final)'!F470</f>
        <v>#REF!</v>
      </c>
      <c r="C18" s="212">
        <f>SUM('[1]TB03-31-04(Final)'!F370:F372)</f>
        <v>0</v>
      </c>
      <c r="D18" s="769" t="e">
        <f>C18/C20</f>
        <v>#DIV/0!</v>
      </c>
      <c r="E18" s="204"/>
      <c r="F18" s="275" t="e">
        <f>SUM('[1]TB03-31-04(Final)'!F530:F531)</f>
        <v>#REF!</v>
      </c>
      <c r="G18" s="212" t="e">
        <f>+B18+F18</f>
        <v>#REF!</v>
      </c>
      <c r="H18" s="237" t="s">
        <v>14</v>
      </c>
      <c r="I18" s="10"/>
      <c r="J18" s="10"/>
      <c r="K18" s="265"/>
      <c r="L18" s="177"/>
      <c r="M18" s="178"/>
      <c r="P18" s="223"/>
    </row>
    <row r="19" spans="1:13" ht="12.75">
      <c r="A19" s="10" t="s">
        <v>393</v>
      </c>
      <c r="B19" s="212">
        <v>0</v>
      </c>
      <c r="C19" s="213">
        <v>0</v>
      </c>
      <c r="D19" s="769" t="e">
        <f>C19/C20</f>
        <v>#DIV/0!</v>
      </c>
      <c r="E19" s="204"/>
      <c r="F19" s="275">
        <v>0</v>
      </c>
      <c r="G19" s="212">
        <v>0</v>
      </c>
      <c r="H19" s="65"/>
      <c r="I19" s="10"/>
      <c r="J19" s="10"/>
      <c r="K19" s="265"/>
      <c r="L19" s="177"/>
      <c r="M19" s="178"/>
    </row>
    <row r="20" spans="1:17" ht="13.5" thickBot="1">
      <c r="A20" s="8" t="s">
        <v>406</v>
      </c>
      <c r="B20" s="174" t="e">
        <f>SUM(B17:B19)</f>
        <v>#REF!</v>
      </c>
      <c r="C20" s="174">
        <f>SUM(C17:C19)</f>
        <v>0</v>
      </c>
      <c r="D20" s="767">
        <f>C20/$C$49</f>
        <v>0</v>
      </c>
      <c r="E20" s="214"/>
      <c r="F20" s="276" t="e">
        <f>SUM(F17:F19)</f>
        <v>#REF!</v>
      </c>
      <c r="G20" s="214" t="e">
        <f>SUM(G17:G19)</f>
        <v>#REF!</v>
      </c>
      <c r="H20" s="66" t="s">
        <v>418</v>
      </c>
      <c r="I20" s="10"/>
      <c r="J20" s="10"/>
      <c r="K20" s="280">
        <f>SUM(K7:K14)+0.01</f>
        <v>139910.01</v>
      </c>
      <c r="L20" s="183"/>
      <c r="M20" s="184">
        <f>SUM(M7:M19)</f>
        <v>139910.01</v>
      </c>
      <c r="N20" s="236"/>
      <c r="O20" s="233"/>
      <c r="P20" s="236"/>
      <c r="Q20" s="236">
        <f>SUM(P7:P18)</f>
        <v>0</v>
      </c>
    </row>
    <row r="21" spans="2:13" ht="13.5" thickTop="1">
      <c r="B21" s="175"/>
      <c r="C21" s="175"/>
      <c r="D21" s="770"/>
      <c r="E21" s="204"/>
      <c r="F21" s="277"/>
      <c r="G21" s="204"/>
      <c r="H21" s="65"/>
      <c r="I21" s="10"/>
      <c r="J21" s="10"/>
      <c r="K21" s="265"/>
      <c r="L21" s="177"/>
      <c r="M21" s="279">
        <f>+F53</f>
        <v>495387.39</v>
      </c>
    </row>
    <row r="22" spans="1:13" ht="12.75">
      <c r="A22" s="59">
        <v>2000</v>
      </c>
      <c r="B22" s="175"/>
      <c r="C22" s="175"/>
      <c r="D22" s="770"/>
      <c r="E22" s="204"/>
      <c r="F22" s="277"/>
      <c r="G22" s="204"/>
      <c r="H22" s="65"/>
      <c r="I22" s="10"/>
      <c r="J22" s="10"/>
      <c r="K22" s="265"/>
      <c r="L22" s="177"/>
      <c r="M22" s="178"/>
    </row>
    <row r="23" spans="1:15" ht="12.75">
      <c r="A23" s="10" t="s">
        <v>447</v>
      </c>
      <c r="B23" s="175">
        <f>+'[1]TB3-31-04 (Pre)'!F470</f>
        <v>980.5</v>
      </c>
      <c r="C23" s="212">
        <f>+'[1]TB3-31-04 (Pre)'!F362</f>
        <v>59250</v>
      </c>
      <c r="D23" s="767">
        <f>C23/C26</f>
        <v>1</v>
      </c>
      <c r="E23" s="204"/>
      <c r="F23" s="275">
        <f>+'[1]TB3-31-04 (Pre)'!F517</f>
        <v>2206.52</v>
      </c>
      <c r="G23" s="212">
        <f>B23+F23</f>
        <v>3187.02</v>
      </c>
      <c r="H23" s="66" t="s">
        <v>419</v>
      </c>
      <c r="I23" s="67" t="s">
        <v>198</v>
      </c>
      <c r="J23" s="67"/>
      <c r="K23" s="265"/>
      <c r="L23" s="177"/>
      <c r="M23" s="178" t="s">
        <v>264</v>
      </c>
      <c r="O23" s="53"/>
    </row>
    <row r="24" spans="1:16" ht="12.75">
      <c r="A24" s="10" t="s">
        <v>448</v>
      </c>
      <c r="B24" s="212">
        <f>+'[1]TB03-31-04(Final)'!F471</f>
        <v>0</v>
      </c>
      <c r="C24" s="212">
        <f>+'[1]TB3-31-04 (Pre)'!F370</f>
        <v>0</v>
      </c>
      <c r="D24" s="767">
        <f>C24/C26</f>
        <v>0</v>
      </c>
      <c r="E24" s="204"/>
      <c r="F24" s="275">
        <f>+'[1]TB03-31-04(Final)'!F532</f>
        <v>0</v>
      </c>
      <c r="G24" s="212">
        <f>B24+F24</f>
        <v>0</v>
      </c>
      <c r="H24" s="66" t="s">
        <v>458</v>
      </c>
      <c r="I24" s="67" t="s">
        <v>460</v>
      </c>
      <c r="J24" s="67"/>
      <c r="K24" s="265"/>
      <c r="L24" s="177"/>
      <c r="M24" s="178"/>
      <c r="O24" s="228"/>
      <c r="P24" s="229"/>
    </row>
    <row r="25" spans="1:16" ht="12.75">
      <c r="A25" s="10" t="s">
        <v>393</v>
      </c>
      <c r="B25" s="212">
        <f>+'[1]TB03-31-04(Final)'!D486</f>
        <v>-374.81</v>
      </c>
      <c r="C25" s="212">
        <v>0</v>
      </c>
      <c r="D25" s="767">
        <f>C25/C26</f>
        <v>0</v>
      </c>
      <c r="E25" s="204"/>
      <c r="F25" s="275">
        <v>0</v>
      </c>
      <c r="G25" s="212">
        <f>F25+B25</f>
        <v>-374.81</v>
      </c>
      <c r="H25" s="65"/>
      <c r="I25" s="71"/>
      <c r="J25" s="10"/>
      <c r="K25" s="265"/>
      <c r="L25" s="177"/>
      <c r="M25" s="178"/>
      <c r="O25" s="228"/>
      <c r="P25" s="229"/>
    </row>
    <row r="26" spans="1:15" ht="13.5" thickBot="1">
      <c r="A26" s="8" t="s">
        <v>406</v>
      </c>
      <c r="B26" s="174">
        <f>SUM(B23:B25)</f>
        <v>605.69</v>
      </c>
      <c r="C26" s="174">
        <f>SUM(C23:C25)</f>
        <v>59250</v>
      </c>
      <c r="D26" s="767">
        <f>C26/$C$49</f>
        <v>0.015765811858006993</v>
      </c>
      <c r="E26" s="214"/>
      <c r="F26" s="276">
        <f>SUM(F23:F25)</f>
        <v>2206.52</v>
      </c>
      <c r="G26" s="214">
        <f>SUM(G23:G25)</f>
        <v>2812.21</v>
      </c>
      <c r="H26" s="66" t="s">
        <v>420</v>
      </c>
      <c r="I26" s="72"/>
      <c r="J26" s="72"/>
      <c r="K26" s="265"/>
      <c r="L26" s="177"/>
      <c r="M26" s="178"/>
      <c r="O26" s="53"/>
    </row>
    <row r="27" spans="2:13" ht="12.75">
      <c r="B27" s="175"/>
      <c r="C27" s="175"/>
      <c r="D27" s="770"/>
      <c r="E27" s="204"/>
      <c r="F27" s="277"/>
      <c r="G27" s="204"/>
      <c r="H27" s="66"/>
      <c r="I27" s="67" t="s">
        <v>193</v>
      </c>
      <c r="J27" s="67"/>
      <c r="K27" s="265"/>
      <c r="L27" s="177"/>
      <c r="M27" s="178"/>
    </row>
    <row r="28" spans="1:13" ht="12.75">
      <c r="A28" s="59">
        <v>2001</v>
      </c>
      <c r="B28" s="175"/>
      <c r="C28" s="175"/>
      <c r="D28" s="770"/>
      <c r="E28" s="204"/>
      <c r="F28" s="277"/>
      <c r="G28" s="204"/>
      <c r="H28" s="66"/>
      <c r="I28" s="67"/>
      <c r="J28" s="67"/>
      <c r="K28" s="265"/>
      <c r="L28" s="177"/>
      <c r="M28" s="178"/>
    </row>
    <row r="29" spans="1:13" ht="13.5" thickBot="1">
      <c r="A29" s="10" t="s">
        <v>447</v>
      </c>
      <c r="B29" s="175">
        <f>+'[1]TB3-31-04 (Pre)'!F471</f>
        <v>728.14</v>
      </c>
      <c r="C29" s="212">
        <f>+'[1]TB3-31-04 (Pre)'!F363</f>
        <v>1500</v>
      </c>
      <c r="D29" s="767">
        <f>C29/C32</f>
        <v>1</v>
      </c>
      <c r="E29" s="204"/>
      <c r="F29" s="275">
        <f>+'[1]TB3-31-04 (Pre)'!F518</f>
        <v>55.86</v>
      </c>
      <c r="G29" s="212">
        <f>B29+F29</f>
        <v>784</v>
      </c>
      <c r="H29" s="66" t="s">
        <v>62</v>
      </c>
      <c r="I29" s="72"/>
      <c r="J29" s="72"/>
      <c r="K29" s="266" t="s">
        <v>413</v>
      </c>
      <c r="L29" s="179"/>
      <c r="M29" s="178"/>
    </row>
    <row r="30" spans="1:13" ht="12.75">
      <c r="A30" s="10" t="s">
        <v>448</v>
      </c>
      <c r="B30" s="212">
        <f>+'[1]TB3-31-04 (Pre)'!F478</f>
        <v>254</v>
      </c>
      <c r="C30" s="212">
        <f>+'[1]TB3-31-04 (Pre)'!F371</f>
        <v>0</v>
      </c>
      <c r="D30" s="767">
        <f>C30/C32</f>
        <v>0</v>
      </c>
      <c r="E30" s="204"/>
      <c r="F30" s="275">
        <f>+'[1]TB3-31-04 (Pre)'!F525</f>
        <v>0</v>
      </c>
      <c r="G30" s="212">
        <f>B30+F30</f>
        <v>254</v>
      </c>
      <c r="H30" s="66"/>
      <c r="I30" s="67" t="s">
        <v>456</v>
      </c>
      <c r="J30" s="67"/>
      <c r="K30" s="266"/>
      <c r="L30" s="179"/>
      <c r="M30" s="178"/>
    </row>
    <row r="31" spans="1:13" ht="12.75">
      <c r="A31" s="10" t="s">
        <v>393</v>
      </c>
      <c r="B31" s="213">
        <v>0</v>
      </c>
      <c r="C31" s="213">
        <v>0</v>
      </c>
      <c r="D31" s="767">
        <f>C31/C32</f>
        <v>0</v>
      </c>
      <c r="E31" s="204"/>
      <c r="F31" s="275">
        <f>+'[1]TB03-31-04(Final)'!F548</f>
        <v>1047.62</v>
      </c>
      <c r="G31" s="212">
        <f>F31+B31</f>
        <v>1047.62</v>
      </c>
      <c r="H31" s="66"/>
      <c r="I31" s="67"/>
      <c r="J31" s="67"/>
      <c r="K31" s="266"/>
      <c r="L31" s="179"/>
      <c r="M31" s="178"/>
    </row>
    <row r="32" spans="1:13" ht="13.5" thickBot="1">
      <c r="A32" s="8" t="s">
        <v>406</v>
      </c>
      <c r="B32" s="174">
        <f>SUM(B29:B31)</f>
        <v>982.14</v>
      </c>
      <c r="C32" s="174">
        <f>SUM(C29:C31)</f>
        <v>1500</v>
      </c>
      <c r="D32" s="767">
        <f>C32/$C$49</f>
        <v>0.00039913447741789855</v>
      </c>
      <c r="E32" s="214"/>
      <c r="F32" s="276">
        <f>SUM(F29:F31)</f>
        <v>1103.4799999999998</v>
      </c>
      <c r="G32" s="214">
        <f>SUM(G29:G31)</f>
        <v>2085.62</v>
      </c>
      <c r="H32" s="66" t="s">
        <v>421</v>
      </c>
      <c r="I32" s="72"/>
      <c r="J32" s="72"/>
      <c r="K32" s="266"/>
      <c r="L32" s="179"/>
      <c r="M32" s="178"/>
    </row>
    <row r="33" spans="2:13" ht="12.75">
      <c r="B33" s="175"/>
      <c r="C33" s="175"/>
      <c r="D33" s="770"/>
      <c r="E33" s="204"/>
      <c r="F33" s="277"/>
      <c r="G33" s="204"/>
      <c r="H33" s="66"/>
      <c r="I33" s="67" t="s">
        <v>422</v>
      </c>
      <c r="J33" s="67"/>
      <c r="K33" s="266"/>
      <c r="L33" s="179"/>
      <c r="M33" s="178"/>
    </row>
    <row r="34" spans="1:13" ht="12.75">
      <c r="A34" s="59">
        <v>2002</v>
      </c>
      <c r="B34" s="175"/>
      <c r="C34" s="175"/>
      <c r="D34" s="770"/>
      <c r="E34" s="204"/>
      <c r="F34" s="277"/>
      <c r="G34" s="204"/>
      <c r="H34" s="66"/>
      <c r="I34" s="67"/>
      <c r="J34" s="67"/>
      <c r="K34" s="266"/>
      <c r="L34" s="179" t="s">
        <v>424</v>
      </c>
      <c r="M34" s="178"/>
    </row>
    <row r="35" spans="1:13" ht="13.5" thickBot="1">
      <c r="A35" s="10" t="s">
        <v>447</v>
      </c>
      <c r="B35" s="175">
        <f>+'[1]TB3-31-04 (Pre)'!F472</f>
        <v>40871.79</v>
      </c>
      <c r="C35" s="212">
        <f>+'[1]TB3-31-04 (Pre)'!F364</f>
        <v>1371608.06</v>
      </c>
      <c r="D35" s="767">
        <f>C35/C38</f>
        <v>0.9514546164884548</v>
      </c>
      <c r="E35" s="215"/>
      <c r="F35" s="275">
        <f>+'[1]TB3-31-04 (Pre)'!F519</f>
        <v>51079.75</v>
      </c>
      <c r="G35" s="212">
        <f>B35+F35</f>
        <v>91951.54000000001</v>
      </c>
      <c r="H35" s="66" t="s">
        <v>423</v>
      </c>
      <c r="I35" s="72"/>
      <c r="J35" s="72"/>
      <c r="K35" s="266"/>
      <c r="L35" s="179"/>
      <c r="M35" s="178"/>
    </row>
    <row r="36" spans="1:13" ht="13.5" thickBot="1">
      <c r="A36" s="10" t="s">
        <v>448</v>
      </c>
      <c r="B36" s="212">
        <f>+'[1]TB3-31-04 (Pre)'!F479</f>
        <v>36651.02</v>
      </c>
      <c r="C36" s="212">
        <f>+'[1]TB3-31-04 (Pre)'!F372</f>
        <v>69982.57</v>
      </c>
      <c r="D36" s="767">
        <f>C36/C38</f>
        <v>0.04854538351154516</v>
      </c>
      <c r="E36" s="215"/>
      <c r="F36" s="275">
        <f>+'[1]TB3-31-04 (Pre)'!F526</f>
        <v>2606.21</v>
      </c>
      <c r="G36" s="212">
        <f>B36+F36</f>
        <v>39257.229999999996</v>
      </c>
      <c r="H36" s="73"/>
      <c r="I36" s="72" t="s">
        <v>233</v>
      </c>
      <c r="J36" s="72"/>
      <c r="K36" s="268"/>
      <c r="L36" s="185"/>
      <c r="M36" s="186"/>
    </row>
    <row r="37" spans="1:10" ht="12.75">
      <c r="A37" s="10" t="s">
        <v>393</v>
      </c>
      <c r="B37" s="213">
        <f>+'[1]TB03-31-04(Final)'!F479</f>
        <v>0</v>
      </c>
      <c r="C37" s="213">
        <f>+'[1]TB3-31-04 (Pre)'!F379</f>
        <v>0</v>
      </c>
      <c r="D37" s="767">
        <f>C37/C38</f>
        <v>0</v>
      </c>
      <c r="E37" s="215"/>
      <c r="F37" s="275">
        <f>+'[1]TB03-31-04(Final)'!F540</f>
        <v>0</v>
      </c>
      <c r="G37" s="212">
        <f>F37+B37</f>
        <v>0</v>
      </c>
      <c r="H37" s="8"/>
      <c r="I37" s="8"/>
      <c r="J37" s="8"/>
    </row>
    <row r="38" spans="1:10" ht="12.75">
      <c r="A38" s="8" t="s">
        <v>406</v>
      </c>
      <c r="B38" s="174">
        <f>SUM(B35:B37)</f>
        <v>77522.81</v>
      </c>
      <c r="C38" s="174">
        <f>SUM(C35:C37)</f>
        <v>1441590.6300000001</v>
      </c>
      <c r="D38" s="767">
        <f>C38/$C$49</f>
        <v>0.38359234850372614</v>
      </c>
      <c r="E38" s="216"/>
      <c r="F38" s="276">
        <f>SUM(F35:F37)</f>
        <v>53685.96</v>
      </c>
      <c r="G38" s="214">
        <f>SUM(G35:G37)</f>
        <v>131208.77000000002</v>
      </c>
      <c r="H38" s="8"/>
      <c r="I38" s="8"/>
      <c r="J38" s="8"/>
    </row>
    <row r="39" spans="2:10" ht="12.75">
      <c r="B39" s="173"/>
      <c r="C39" s="173"/>
      <c r="D39" s="767"/>
      <c r="E39" s="296"/>
      <c r="F39" s="275"/>
      <c r="G39" s="212"/>
      <c r="H39" s="8"/>
      <c r="I39" s="8"/>
      <c r="J39" s="8"/>
    </row>
    <row r="40" spans="1:15" s="136" customFormat="1" ht="12.75">
      <c r="A40" s="59">
        <v>2003</v>
      </c>
      <c r="B40" s="175"/>
      <c r="C40" s="175"/>
      <c r="D40" s="770"/>
      <c r="E40" s="204"/>
      <c r="F40" s="277"/>
      <c r="G40" s="204"/>
      <c r="H40" s="8"/>
      <c r="I40" s="8"/>
      <c r="J40" s="8"/>
      <c r="K40" s="142"/>
      <c r="L40" s="187"/>
      <c r="M40" s="187"/>
      <c r="O40" s="227"/>
    </row>
    <row r="41" spans="1:15" s="136" customFormat="1" ht="12.75">
      <c r="A41" s="10" t="s">
        <v>447</v>
      </c>
      <c r="B41" s="175">
        <f>+'[1]TB3-31-04 (Pre)'!F473</f>
        <v>87858.67</v>
      </c>
      <c r="C41" s="212">
        <f>+'[1]TB3-31-04 (Pre)'!F365</f>
        <v>1626410.46</v>
      </c>
      <c r="D41" s="767">
        <f>C41/C44</f>
        <v>0.7209933397914958</v>
      </c>
      <c r="E41" s="215"/>
      <c r="F41" s="275">
        <f>+'[1]TB3-31-04 (Pre)'!F520</f>
        <v>60568.8</v>
      </c>
      <c r="G41" s="212">
        <f>B41+F41</f>
        <v>148427.47</v>
      </c>
      <c r="H41" s="94"/>
      <c r="I41" s="94"/>
      <c r="J41" s="94"/>
      <c r="K41" s="281"/>
      <c r="L41" s="188"/>
      <c r="M41" s="188"/>
      <c r="O41" s="227"/>
    </row>
    <row r="42" spans="1:15" s="136" customFormat="1" ht="12.75">
      <c r="A42" s="10" t="s">
        <v>448</v>
      </c>
      <c r="B42" s="212">
        <f>+'[1]TB3-31-04 (Pre)'!F480</f>
        <v>122270.13</v>
      </c>
      <c r="C42" s="212">
        <f>+'[1]TB3-31-04 (Pre)'!F373</f>
        <v>628151.78</v>
      </c>
      <c r="D42" s="767">
        <f>C42/C44</f>
        <v>0.2784618402897956</v>
      </c>
      <c r="E42" s="215"/>
      <c r="F42" s="275">
        <f>+'[1]TB3-31-04 (Pre)'!F527</f>
        <v>23392.86</v>
      </c>
      <c r="G42" s="212">
        <f>B42+F42</f>
        <v>145662.99</v>
      </c>
      <c r="H42" s="94"/>
      <c r="I42" s="94"/>
      <c r="J42" s="94"/>
      <c r="K42" s="281"/>
      <c r="L42" s="188"/>
      <c r="M42" s="188"/>
      <c r="O42" s="227"/>
    </row>
    <row r="43" spans="1:15" s="136" customFormat="1" ht="12.75">
      <c r="A43" s="10" t="s">
        <v>393</v>
      </c>
      <c r="B43" s="213">
        <v>0</v>
      </c>
      <c r="C43" s="213">
        <f>+'[1]TB3-31-04 (Pre)'!F380</f>
        <v>1229</v>
      </c>
      <c r="D43" s="767">
        <f>C43/C44</f>
        <v>0.000544819918708435</v>
      </c>
      <c r="E43" s="215"/>
      <c r="F43" s="275">
        <f>+'[1]TB3-31-04 (Pre)'!F533</f>
        <v>45.77</v>
      </c>
      <c r="G43" s="212">
        <f>F43+B43</f>
        <v>45.77</v>
      </c>
      <c r="H43" s="94"/>
      <c r="I43" s="94"/>
      <c r="J43" s="94"/>
      <c r="K43" s="281"/>
      <c r="L43" s="188"/>
      <c r="M43" s="188"/>
      <c r="O43" s="227"/>
    </row>
    <row r="44" spans="1:13" ht="12.75">
      <c r="A44" s="8" t="s">
        <v>406</v>
      </c>
      <c r="B44" s="174">
        <f>SUM(B41:B43)</f>
        <v>210128.8</v>
      </c>
      <c r="C44" s="174">
        <f>SUM(C41:C43)</f>
        <v>2255791.24</v>
      </c>
      <c r="D44" s="767">
        <f>C44/$C$49</f>
        <v>0.600242705160849</v>
      </c>
      <c r="E44" s="216"/>
      <c r="F44" s="276">
        <f>SUM(F41:F43)</f>
        <v>84007.43000000001</v>
      </c>
      <c r="G44" s="214">
        <f>SUM(G41:G43)</f>
        <v>294136.23</v>
      </c>
      <c r="H44" s="94"/>
      <c r="I44" s="94"/>
      <c r="J44" s="94"/>
      <c r="K44" s="281"/>
      <c r="L44" s="188"/>
      <c r="M44" s="188"/>
    </row>
    <row r="45" spans="1:10" ht="12.75">
      <c r="A45" s="61" t="s">
        <v>449</v>
      </c>
      <c r="B45" s="175"/>
      <c r="C45" s="175"/>
      <c r="D45" s="770"/>
      <c r="E45" s="204"/>
      <c r="F45" s="277"/>
      <c r="G45" s="204"/>
      <c r="H45" s="8"/>
      <c r="I45" s="8"/>
      <c r="J45" s="8"/>
    </row>
    <row r="46" spans="1:7" ht="12.75">
      <c r="A46" s="67" t="s">
        <v>447</v>
      </c>
      <c r="B46" s="217">
        <f aca="true" t="shared" si="0" ref="B46:C48">+B11+B17+B23+B29+B35+B41</f>
        <v>130439.1</v>
      </c>
      <c r="C46" s="217">
        <f t="shared" si="0"/>
        <v>3058768.52</v>
      </c>
      <c r="D46" s="768">
        <f>C46/C49</f>
        <v>0.813906649848346</v>
      </c>
      <c r="E46" s="217"/>
      <c r="F46" s="298" t="e">
        <f>+F17+F23+F29+F35+F41</f>
        <v>#REF!</v>
      </c>
      <c r="G46" s="217" t="e">
        <f>B46+F46</f>
        <v>#REF!</v>
      </c>
    </row>
    <row r="47" spans="1:7" ht="12.75">
      <c r="A47" s="67" t="s">
        <v>448</v>
      </c>
      <c r="B47" s="217" t="e">
        <f t="shared" si="0"/>
        <v>#REF!</v>
      </c>
      <c r="C47" s="217">
        <f t="shared" si="0"/>
        <v>698134.3500000001</v>
      </c>
      <c r="D47" s="768">
        <f>C47/C49</f>
        <v>0.1857663259698229</v>
      </c>
      <c r="E47" s="217"/>
      <c r="F47" s="278" t="e">
        <f>+F18+F24+F30+F36+F42</f>
        <v>#REF!</v>
      </c>
      <c r="G47" s="217" t="e">
        <f>B47+F47</f>
        <v>#REF!</v>
      </c>
    </row>
    <row r="48" spans="1:7" ht="12.75">
      <c r="A48" s="67" t="s">
        <v>393</v>
      </c>
      <c r="B48" s="217">
        <f t="shared" si="0"/>
        <v>-374.81</v>
      </c>
      <c r="C48" s="217">
        <f t="shared" si="0"/>
        <v>1229</v>
      </c>
      <c r="D48" s="768">
        <f>C48/C49</f>
        <v>0.0003270241818310649</v>
      </c>
      <c r="E48" s="217"/>
      <c r="F48" s="278">
        <f>+F43+F37+F31+F25+F19</f>
        <v>1093.3899999999999</v>
      </c>
      <c r="G48" s="217">
        <f>B48+F48</f>
        <v>718.5799999999999</v>
      </c>
    </row>
    <row r="49" spans="1:7" ht="13.5" thickBot="1">
      <c r="A49" s="94" t="s">
        <v>406</v>
      </c>
      <c r="B49" s="305" t="e">
        <f>SUM(B46:B48)</f>
        <v>#REF!</v>
      </c>
      <c r="C49" s="305">
        <f>SUM(C46:C48)</f>
        <v>3758131.87</v>
      </c>
      <c r="D49" s="768">
        <f>C49/$C$49</f>
        <v>1</v>
      </c>
      <c r="E49" s="305"/>
      <c r="F49" s="306" t="e">
        <f>SUM(F46:F48)</f>
        <v>#REF!</v>
      </c>
      <c r="G49" s="305" t="e">
        <f>B49+F49</f>
        <v>#REF!</v>
      </c>
    </row>
    <row r="50" spans="1:15" s="596" customFormat="1" ht="13.5" thickTop="1">
      <c r="A50" s="592" t="s">
        <v>196</v>
      </c>
      <c r="B50" s="593">
        <f>+'[1]TB03-31-04(Final)'!G486</f>
        <v>292907.87</v>
      </c>
      <c r="C50" s="593">
        <f>+'[1]TB03-31-04(Final)'!G384</f>
        <v>3791762.3499999996</v>
      </c>
      <c r="D50" s="594"/>
      <c r="E50" s="595"/>
      <c r="F50" s="595">
        <f>+'[1]TB03-31-04(Final)'!G547</f>
        <v>139421.58999999997</v>
      </c>
      <c r="G50" s="595"/>
      <c r="J50" s="597"/>
      <c r="K50" s="598"/>
      <c r="L50" s="593"/>
      <c r="M50" s="593"/>
      <c r="O50" s="598"/>
    </row>
    <row r="51" spans="1:15" s="596" customFormat="1" ht="12.75">
      <c r="A51" s="592"/>
      <c r="B51" s="593" t="e">
        <f>+B49-B50</f>
        <v>#REF!</v>
      </c>
      <c r="C51" s="593">
        <f>+C49-C50</f>
        <v>-33630.479999999516</v>
      </c>
      <c r="D51" s="599"/>
      <c r="E51" s="595"/>
      <c r="F51" s="592" t="e">
        <f>+F49-F50</f>
        <v>#REF!</v>
      </c>
      <c r="G51" s="595"/>
      <c r="J51" s="597"/>
      <c r="K51" s="598"/>
      <c r="L51" s="593"/>
      <c r="M51" s="593"/>
      <c r="O51" s="598"/>
    </row>
    <row r="52" spans="1:7" ht="12.75">
      <c r="A52" s="299" t="s">
        <v>45</v>
      </c>
      <c r="B52" s="300"/>
      <c r="C52" s="300"/>
      <c r="D52" s="209"/>
      <c r="E52" s="175"/>
      <c r="F52" s="218"/>
      <c r="G52" s="175"/>
    </row>
    <row r="53" spans="1:7" ht="25.5">
      <c r="A53" s="62" t="s">
        <v>450</v>
      </c>
      <c r="B53" s="176"/>
      <c r="C53" s="176"/>
      <c r="D53" s="210"/>
      <c r="E53" s="204"/>
      <c r="F53" s="297">
        <v>495387.39</v>
      </c>
      <c r="G53" s="204"/>
    </row>
    <row r="55" spans="1:6" ht="12.75">
      <c r="A55" s="118" t="s">
        <v>190</v>
      </c>
      <c r="B55" s="123">
        <v>51200</v>
      </c>
      <c r="C55" s="124">
        <v>51100</v>
      </c>
      <c r="D55" s="220"/>
      <c r="E55" s="125"/>
      <c r="F55" s="125" t="s">
        <v>192</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8" t="s">
        <v>81</v>
      </c>
      <c r="B2" s="1018"/>
      <c r="C2" s="1018"/>
      <c r="D2" s="1018"/>
      <c r="E2" s="1018"/>
      <c r="F2" s="1018"/>
      <c r="G2" s="1018"/>
      <c r="H2" s="1018"/>
      <c r="I2" s="1018"/>
      <c r="J2" s="1018"/>
    </row>
    <row r="3" spans="1:7" ht="19.5" customHeight="1">
      <c r="A3" s="243"/>
      <c r="B3" s="244"/>
      <c r="C3" s="244"/>
      <c r="E3" s="244"/>
      <c r="F3" s="244"/>
      <c r="G3" s="244"/>
    </row>
    <row r="4" spans="1:10" ht="19.5" customHeight="1">
      <c r="A4" s="1019" t="s">
        <v>82</v>
      </c>
      <c r="B4" s="1019"/>
      <c r="C4" s="1019"/>
      <c r="D4" s="1019"/>
      <c r="E4" s="1019"/>
      <c r="F4" s="1019"/>
      <c r="G4" s="1019"/>
      <c r="H4" s="1019"/>
      <c r="I4" s="1019"/>
      <c r="J4" s="1019"/>
    </row>
    <row r="5" ht="19.5" customHeight="1">
      <c r="B5" s="9"/>
    </row>
    <row r="6" spans="2:10" ht="19.5" customHeight="1">
      <c r="B6" s="1020" t="s">
        <v>429</v>
      </c>
      <c r="C6" s="1020"/>
      <c r="D6" s="1020"/>
      <c r="E6" s="6"/>
      <c r="F6" s="6"/>
      <c r="G6" s="6"/>
      <c r="H6" s="141" t="s">
        <v>430</v>
      </c>
      <c r="I6" s="141"/>
      <c r="J6" s="140"/>
    </row>
    <row r="7" spans="2:10" ht="19.5" customHeight="1" thickBot="1">
      <c r="B7" s="1021" t="s">
        <v>83</v>
      </c>
      <c r="C7" s="1021"/>
      <c r="D7" s="1021"/>
      <c r="E7" s="248"/>
      <c r="F7" s="248"/>
      <c r="G7" s="248"/>
      <c r="H7" s="1021" t="s">
        <v>83</v>
      </c>
      <c r="I7" s="1021"/>
      <c r="J7" s="1021"/>
    </row>
    <row r="8" spans="2:10" ht="19.5" customHeight="1" thickBot="1">
      <c r="B8" s="245">
        <v>2002</v>
      </c>
      <c r="C8" s="139"/>
      <c r="D8" s="245">
        <v>2001</v>
      </c>
      <c r="E8" s="139"/>
      <c r="F8" s="361" t="s">
        <v>221</v>
      </c>
      <c r="G8" s="139"/>
      <c r="H8" s="245">
        <v>2002</v>
      </c>
      <c r="I8" s="139"/>
      <c r="J8" s="245">
        <v>2001</v>
      </c>
    </row>
    <row r="9" spans="1:9" ht="19.5" customHeight="1">
      <c r="A9" s="14"/>
      <c r="B9" s="112"/>
      <c r="C9" s="112"/>
      <c r="D9" s="14"/>
      <c r="E9" s="130"/>
      <c r="F9" s="130"/>
      <c r="G9" s="130"/>
      <c r="I9" s="45"/>
    </row>
    <row r="10" spans="1:10" ht="19.5" customHeight="1">
      <c r="A10" s="95" t="s">
        <v>84</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85</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86</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87</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88</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259</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89</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145</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90</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91</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92</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70" customWidth="1"/>
    <col min="7" max="7" width="11.7109375" style="0" hidden="1" customWidth="1"/>
    <col min="8" max="8" width="12.57421875" style="0" hidden="1" customWidth="1"/>
    <col min="9" max="9" width="12.28125" style="0" hidden="1" customWidth="1"/>
    <col min="10" max="10" width="14.00390625" style="699" hidden="1" customWidth="1"/>
    <col min="11" max="11" width="15.00390625" style="699" hidden="1" customWidth="1"/>
    <col min="12" max="12" width="13.8515625" style="700" customWidth="1"/>
    <col min="13" max="15" width="9.140625" style="0" hidden="1" customWidth="1"/>
    <col min="16" max="16" width="14.28125" style="0" hidden="1" customWidth="1"/>
    <col min="17" max="17" width="12.28125" style="0" hidden="1" customWidth="1"/>
    <col min="18" max="18" width="13.140625" style="0" customWidth="1"/>
    <col min="19" max="19" width="10.57421875" style="715" customWidth="1"/>
    <col min="20" max="20" width="35.7109375" style="0" customWidth="1"/>
  </cols>
  <sheetData>
    <row r="1" spans="1:20" s="50" customFormat="1" ht="22.5" customHeight="1">
      <c r="A1" s="948" t="s">
        <v>254</v>
      </c>
      <c r="B1" s="948"/>
      <c r="C1" s="948"/>
      <c r="D1" s="948"/>
      <c r="E1" s="948"/>
      <c r="F1" s="948"/>
      <c r="G1" s="948"/>
      <c r="H1" s="948"/>
      <c r="I1" s="948"/>
      <c r="J1" s="948"/>
      <c r="K1" s="948"/>
      <c r="L1" s="948"/>
      <c r="M1" s="948"/>
      <c r="N1" s="948"/>
      <c r="O1" s="948"/>
      <c r="P1" s="948"/>
      <c r="Q1" s="948"/>
      <c r="R1" s="948"/>
      <c r="S1" s="948"/>
      <c r="T1" s="948"/>
    </row>
    <row r="2" ht="7.5" customHeight="1"/>
    <row r="3" spans="1:20" ht="19.5">
      <c r="A3" s="948" t="s">
        <v>118</v>
      </c>
      <c r="B3" s="948"/>
      <c r="C3" s="948"/>
      <c r="D3" s="948"/>
      <c r="E3" s="948"/>
      <c r="F3" s="948"/>
      <c r="G3" s="948"/>
      <c r="H3" s="948"/>
      <c r="I3" s="948"/>
      <c r="J3" s="948"/>
      <c r="K3" s="948"/>
      <c r="L3" s="948"/>
      <c r="M3" s="948"/>
      <c r="N3" s="948"/>
      <c r="O3" s="948"/>
      <c r="P3" s="948"/>
      <c r="Q3" s="948"/>
      <c r="R3" s="948"/>
      <c r="S3" s="948"/>
      <c r="T3" s="948"/>
    </row>
    <row r="4" spans="2:9" ht="8.25" customHeight="1">
      <c r="B4" s="660"/>
      <c r="C4" s="666"/>
      <c r="D4" s="660"/>
      <c r="E4" s="660"/>
      <c r="F4" s="666"/>
      <c r="G4" s="660"/>
      <c r="H4" s="660"/>
      <c r="I4" s="660"/>
    </row>
    <row r="5" spans="1:20" ht="19.5">
      <c r="A5" s="948" t="s">
        <v>8</v>
      </c>
      <c r="B5" s="948"/>
      <c r="C5" s="948"/>
      <c r="D5" s="948"/>
      <c r="E5" s="948"/>
      <c r="F5" s="948"/>
      <c r="G5" s="948"/>
      <c r="H5" s="948"/>
      <c r="I5" s="948"/>
      <c r="J5" s="948"/>
      <c r="K5" s="948"/>
      <c r="L5" s="948"/>
      <c r="M5" s="948"/>
      <c r="N5" s="948"/>
      <c r="O5" s="948"/>
      <c r="P5" s="948"/>
      <c r="Q5" s="948"/>
      <c r="R5" s="948"/>
      <c r="S5" s="948"/>
      <c r="T5" s="948"/>
    </row>
    <row r="6" spans="7:9" ht="12.75">
      <c r="G6" s="966" t="s">
        <v>235</v>
      </c>
      <c r="H6" s="966"/>
      <c r="I6" s="966"/>
    </row>
    <row r="7" spans="4:17" ht="12.75">
      <c r="D7" s="949" t="s">
        <v>135</v>
      </c>
      <c r="E7" s="949"/>
      <c r="F7" s="949"/>
      <c r="J7" s="949" t="s">
        <v>114</v>
      </c>
      <c r="K7" s="949"/>
      <c r="L7" s="949"/>
      <c r="M7" s="949"/>
      <c r="N7" s="949"/>
      <c r="O7" s="949"/>
      <c r="P7" s="949"/>
      <c r="Q7" s="949"/>
    </row>
    <row r="8" spans="4:18" ht="12.75">
      <c r="D8" s="679" t="s">
        <v>163</v>
      </c>
      <c r="E8" s="683" t="s">
        <v>164</v>
      </c>
      <c r="F8" s="949" t="s">
        <v>115</v>
      </c>
      <c r="G8" s="949"/>
      <c r="H8" s="949"/>
      <c r="I8" s="949"/>
      <c r="J8" s="949"/>
      <c r="K8" s="949"/>
      <c r="L8" s="949"/>
      <c r="P8" s="683"/>
      <c r="Q8" s="683"/>
      <c r="R8" s="683" t="s">
        <v>337</v>
      </c>
    </row>
    <row r="9" spans="2:20" ht="13.5" thickBot="1">
      <c r="B9" s="684" t="s">
        <v>10</v>
      </c>
      <c r="C9" s="674"/>
      <c r="D9" s="682" t="s">
        <v>162</v>
      </c>
      <c r="E9" s="684" t="s">
        <v>162</v>
      </c>
      <c r="F9" s="947" t="s">
        <v>5</v>
      </c>
      <c r="G9" s="947" t="s">
        <v>162</v>
      </c>
      <c r="H9" s="947" t="s">
        <v>162</v>
      </c>
      <c r="I9" s="947"/>
      <c r="J9" s="947" t="s">
        <v>162</v>
      </c>
      <c r="K9" s="947" t="s">
        <v>162</v>
      </c>
      <c r="L9" s="684" t="s">
        <v>6</v>
      </c>
      <c r="P9" s="684"/>
      <c r="Q9" s="671"/>
      <c r="R9" s="684" t="s">
        <v>67</v>
      </c>
      <c r="S9" s="710" t="s">
        <v>19</v>
      </c>
      <c r="T9" s="684" t="s">
        <v>20</v>
      </c>
    </row>
    <row r="10" spans="2:19" ht="12.75">
      <c r="B10" s="679"/>
      <c r="I10" s="360"/>
      <c r="S10" s="717"/>
    </row>
    <row r="11" spans="1:19" ht="12.75">
      <c r="A11" t="s">
        <v>321</v>
      </c>
      <c r="B11" s="679" t="s">
        <v>165</v>
      </c>
      <c r="C11" s="676"/>
      <c r="D11" s="677">
        <f>+'[1]TB03-31-04(Final)'!Z578+'[1]TB03-31-04(Final)'!E1004</f>
        <v>4438743.83</v>
      </c>
      <c r="E11" s="677">
        <v>0</v>
      </c>
      <c r="F11" s="760">
        <f>SUM(D11:E11)</f>
        <v>4438743.83</v>
      </c>
      <c r="G11" s="761"/>
      <c r="H11" s="761"/>
      <c r="I11" s="761">
        <f aca="true" t="shared" si="0" ref="I11:I28">SUM(G11:H11)</f>
        <v>0</v>
      </c>
      <c r="J11" s="762">
        <f>+'[6]TB09-30-02(Final)'!$I$511+'[6]TB09-30-02(Final)'!$E$911</f>
        <v>3977400.389999999</v>
      </c>
      <c r="K11" s="762"/>
      <c r="L11" s="760">
        <f>+J11+K11</f>
        <v>3977400.389999999</v>
      </c>
      <c r="M11" s="763"/>
      <c r="N11" s="763"/>
      <c r="O11" s="763"/>
      <c r="P11" s="763"/>
      <c r="Q11" s="763">
        <f>SUM(J11:P11)</f>
        <v>7954800.779999998</v>
      </c>
      <c r="R11" s="742">
        <f>+F11-L11</f>
        <v>461343.4400000009</v>
      </c>
      <c r="S11" s="714">
        <f>R11/L11</f>
        <v>0.11599119896501066</v>
      </c>
    </row>
    <row r="12" spans="2:19" ht="12.75">
      <c r="B12" s="679"/>
      <c r="C12" s="676"/>
      <c r="D12" s="677"/>
      <c r="E12" s="677"/>
      <c r="F12" s="690"/>
      <c r="G12" s="691"/>
      <c r="H12" s="691"/>
      <c r="I12" s="692"/>
      <c r="L12" s="690"/>
      <c r="Q12" s="673"/>
      <c r="R12" s="679"/>
      <c r="S12" s="714"/>
    </row>
    <row r="13" spans="2:19" ht="12.75">
      <c r="B13" s="679" t="s">
        <v>116</v>
      </c>
      <c r="C13" s="676"/>
      <c r="D13" s="677"/>
      <c r="E13" s="677"/>
      <c r="F13" s="690"/>
      <c r="G13" s="691"/>
      <c r="H13" s="691"/>
      <c r="I13" s="692"/>
      <c r="L13" s="690"/>
      <c r="Q13" s="673"/>
      <c r="R13" s="679"/>
      <c r="S13" s="714"/>
    </row>
    <row r="14" spans="2:19" ht="12.75">
      <c r="B14" s="679"/>
      <c r="C14" s="677"/>
      <c r="D14" s="677"/>
      <c r="E14" s="677"/>
      <c r="F14" s="690"/>
      <c r="G14" s="691"/>
      <c r="H14" s="691"/>
      <c r="I14" s="692"/>
      <c r="L14" s="690"/>
      <c r="Q14" s="673">
        <f aca="true" t="shared" si="1" ref="Q14:Q54">SUM(J14:P14)</f>
        <v>0</v>
      </c>
      <c r="R14" s="679"/>
      <c r="S14" s="714"/>
    </row>
    <row r="15" spans="1:20" ht="12.75">
      <c r="A15" t="s">
        <v>322</v>
      </c>
      <c r="B15" s="679" t="s">
        <v>94</v>
      </c>
      <c r="C15" s="676"/>
      <c r="D15" s="677">
        <v>0</v>
      </c>
      <c r="E15" s="677">
        <f>+'[1]TB03-31-04(Final)'!E630</f>
        <v>521247.75000000006</v>
      </c>
      <c r="F15" s="690">
        <f>SUM(D15:E15)</f>
        <v>521247.75000000006</v>
      </c>
      <c r="G15" s="691"/>
      <c r="H15" s="691"/>
      <c r="I15" s="692">
        <f t="shared" si="0"/>
        <v>0</v>
      </c>
      <c r="K15" s="699">
        <f>+'[6]TB09-30-02(Final)'!$E$551</f>
        <v>404349.55000000005</v>
      </c>
      <c r="L15" s="690">
        <f aca="true" t="shared" si="2" ref="L15:L54">+J15+K15</f>
        <v>404349.55000000005</v>
      </c>
      <c r="Q15" s="673">
        <f t="shared" si="1"/>
        <v>808699.1000000001</v>
      </c>
      <c r="R15" s="679">
        <f aca="true" t="shared" si="3" ref="R15:R65">+F15-L15</f>
        <v>116898.20000000001</v>
      </c>
      <c r="S15" s="714">
        <f>R15/L15</f>
        <v>0.2891018427002083</v>
      </c>
      <c r="T15" t="s">
        <v>220</v>
      </c>
    </row>
    <row r="16" spans="2:19" ht="12.75">
      <c r="B16" s="679"/>
      <c r="C16" s="676"/>
      <c r="D16" s="677"/>
      <c r="E16" s="677"/>
      <c r="F16" s="690"/>
      <c r="G16" s="691"/>
      <c r="H16" s="691"/>
      <c r="I16" s="692"/>
      <c r="L16" s="690"/>
      <c r="Q16" s="673">
        <f t="shared" si="1"/>
        <v>0</v>
      </c>
      <c r="R16" s="679"/>
      <c r="S16" s="714"/>
    </row>
    <row r="17" spans="1:19" ht="12.75">
      <c r="A17" t="s">
        <v>323</v>
      </c>
      <c r="B17" s="679" t="s">
        <v>166</v>
      </c>
      <c r="C17" s="676"/>
      <c r="D17" s="677">
        <v>0</v>
      </c>
      <c r="E17" s="677">
        <v>0</v>
      </c>
      <c r="F17" s="690">
        <f>SUM(D17:E17)</f>
        <v>0</v>
      </c>
      <c r="G17" s="691"/>
      <c r="H17" s="691"/>
      <c r="I17" s="692">
        <f t="shared" si="0"/>
        <v>0</v>
      </c>
      <c r="L17" s="690">
        <f t="shared" si="2"/>
        <v>0</v>
      </c>
      <c r="Q17" s="673">
        <f t="shared" si="1"/>
        <v>0</v>
      </c>
      <c r="R17" s="679">
        <f t="shared" si="3"/>
        <v>0</v>
      </c>
      <c r="S17" s="714"/>
    </row>
    <row r="18" spans="2:19" ht="12.75">
      <c r="B18" s="679"/>
      <c r="C18" s="676"/>
      <c r="D18" s="677"/>
      <c r="E18" s="677"/>
      <c r="F18" s="690"/>
      <c r="G18" s="691"/>
      <c r="H18" s="691"/>
      <c r="I18" s="692"/>
      <c r="L18" s="690"/>
      <c r="Q18" s="673">
        <f t="shared" si="1"/>
        <v>0</v>
      </c>
      <c r="R18" s="679"/>
      <c r="S18" s="714"/>
    </row>
    <row r="19" spans="1:19" ht="12.75">
      <c r="A19" t="s">
        <v>324</v>
      </c>
      <c r="B19" s="679" t="s">
        <v>167</v>
      </c>
      <c r="C19" s="676"/>
      <c r="D19" s="677"/>
      <c r="E19" s="677">
        <f>+'[1]TB03-31-04(Final)'!E639</f>
        <v>3506.25</v>
      </c>
      <c r="F19" s="690">
        <f>SUM(D19:E19)</f>
        <v>3506.25</v>
      </c>
      <c r="G19" s="691"/>
      <c r="H19" s="691"/>
      <c r="I19" s="692">
        <f t="shared" si="0"/>
        <v>0</v>
      </c>
      <c r="K19" s="699">
        <f>+'[6]TB09-30-02(Final)'!$E$559</f>
        <v>4125</v>
      </c>
      <c r="L19" s="690">
        <f t="shared" si="2"/>
        <v>4125</v>
      </c>
      <c r="Q19" s="673">
        <f t="shared" si="1"/>
        <v>8250</v>
      </c>
      <c r="R19" s="679">
        <f t="shared" si="3"/>
        <v>-618.75</v>
      </c>
      <c r="S19" s="714">
        <f>R19/L19</f>
        <v>-0.15</v>
      </c>
    </row>
    <row r="21" spans="1:20" ht="12.75">
      <c r="A21" t="s">
        <v>325</v>
      </c>
      <c r="B21" s="679" t="s">
        <v>120</v>
      </c>
      <c r="C21" s="676"/>
      <c r="D21" s="677">
        <v>0</v>
      </c>
      <c r="E21" s="677">
        <v>0</v>
      </c>
      <c r="F21" s="690">
        <f>SUM(D21:E21)</f>
        <v>0</v>
      </c>
      <c r="G21" s="691"/>
      <c r="H21" s="691"/>
      <c r="I21" s="692"/>
      <c r="K21" s="699">
        <f>+'[6]TB09-30-02(Final)'!$E$555</f>
        <v>14250</v>
      </c>
      <c r="L21" s="690">
        <f>+J21+K21</f>
        <v>14250</v>
      </c>
      <c r="Q21" s="673">
        <f>SUM(J21:P21)</f>
        <v>28500</v>
      </c>
      <c r="R21" s="679">
        <f>+F21-L21</f>
        <v>-14250</v>
      </c>
      <c r="S21" s="714">
        <f>R21/L21</f>
        <v>-1</v>
      </c>
      <c r="T21" t="s">
        <v>119</v>
      </c>
    </row>
    <row r="22" spans="2:19" ht="12.75">
      <c r="B22" s="679" t="s">
        <v>121</v>
      </c>
      <c r="C22" s="676"/>
      <c r="D22" s="677"/>
      <c r="E22" s="677"/>
      <c r="F22" s="690">
        <f>SUM(D23:E23)</f>
        <v>93073.73</v>
      </c>
      <c r="G22" s="691"/>
      <c r="H22" s="691"/>
      <c r="I22" s="692">
        <f>SUM(G22:H22)</f>
        <v>0</v>
      </c>
      <c r="K22" s="699">
        <f>'[6]TB09-30-02(Final)'!$E$565</f>
        <v>72119.22</v>
      </c>
      <c r="L22" s="690">
        <f>+J22+K22</f>
        <v>72119.22</v>
      </c>
      <c r="Q22" s="673">
        <f>SUM(J22:P22)</f>
        <v>144238.44</v>
      </c>
      <c r="R22" s="679">
        <f>+F22-L22</f>
        <v>20954.509999999995</v>
      </c>
      <c r="S22" s="714">
        <f>R22/L22</f>
        <v>0.2905537525225591</v>
      </c>
    </row>
    <row r="23" spans="3:5" ht="12.75">
      <c r="C23" s="676"/>
      <c r="D23" s="677">
        <f>+'[1]TB03-31-04(Final)'!D633</f>
        <v>104.64</v>
      </c>
      <c r="E23" s="677">
        <f>+'[1]TB03-31-04(Final)'!E647</f>
        <v>92969.09</v>
      </c>
    </row>
    <row r="24" spans="2:19" ht="12.75">
      <c r="B24" s="679"/>
      <c r="C24" s="676"/>
      <c r="D24" s="677"/>
      <c r="E24" s="677"/>
      <c r="F24" s="690"/>
      <c r="G24" s="691"/>
      <c r="H24" s="691"/>
      <c r="I24" s="692">
        <f t="shared" si="0"/>
        <v>0</v>
      </c>
      <c r="L24" s="690"/>
      <c r="Q24" s="673">
        <f t="shared" si="1"/>
        <v>0</v>
      </c>
      <c r="R24" s="679"/>
      <c r="S24" s="714"/>
    </row>
    <row r="25" spans="1:20" ht="12.75">
      <c r="A25" t="s">
        <v>326</v>
      </c>
      <c r="B25" s="679" t="s">
        <v>26</v>
      </c>
      <c r="C25" s="676">
        <v>542.61</v>
      </c>
      <c r="D25" s="677">
        <f>+'[1]TB03-31-04(Final)'!Z765</f>
        <v>642.87</v>
      </c>
      <c r="E25" s="677">
        <f>+'[1]TB03-31-04(Final)'!Z768</f>
        <v>4352.13</v>
      </c>
      <c r="F25" s="690">
        <f>SUM(D25:E25)</f>
        <v>4995</v>
      </c>
      <c r="G25" s="691"/>
      <c r="H25" s="691"/>
      <c r="I25" s="692">
        <f t="shared" si="0"/>
        <v>0</v>
      </c>
      <c r="J25" s="701">
        <v>-9625.77</v>
      </c>
      <c r="K25" s="699">
        <f>+'[6]TB09-30-02(Final)'!$E$678-J25</f>
        <v>-67442.04</v>
      </c>
      <c r="L25" s="690">
        <f t="shared" si="2"/>
        <v>-77067.81</v>
      </c>
      <c r="Q25" s="673">
        <f t="shared" si="1"/>
        <v>-154135.62</v>
      </c>
      <c r="R25" s="679">
        <f t="shared" si="3"/>
        <v>82062.81</v>
      </c>
      <c r="S25" s="714">
        <f>R25/L25</f>
        <v>-1.0648130522977104</v>
      </c>
      <c r="T25" t="s">
        <v>129</v>
      </c>
    </row>
    <row r="26" spans="2:19" ht="12.75">
      <c r="B26" s="679"/>
      <c r="C26" s="676"/>
      <c r="D26" s="677"/>
      <c r="E26" s="677"/>
      <c r="F26" s="690"/>
      <c r="G26" s="691"/>
      <c r="H26" s="691"/>
      <c r="I26" s="692">
        <f t="shared" si="0"/>
        <v>0</v>
      </c>
      <c r="J26" s="701"/>
      <c r="L26" s="690">
        <f t="shared" si="2"/>
        <v>0</v>
      </c>
      <c r="Q26" s="673">
        <f t="shared" si="1"/>
        <v>0</v>
      </c>
      <c r="R26" s="679">
        <f t="shared" si="3"/>
        <v>0</v>
      </c>
      <c r="S26" s="714"/>
    </row>
    <row r="27" spans="1:19" ht="12.75">
      <c r="A27" t="s">
        <v>327</v>
      </c>
      <c r="B27" s="679" t="s">
        <v>168</v>
      </c>
      <c r="C27" s="676"/>
      <c r="D27" s="677"/>
      <c r="E27" s="677"/>
      <c r="F27" s="690">
        <f>SUM(D27:E27)</f>
        <v>0</v>
      </c>
      <c r="G27" s="691"/>
      <c r="H27" s="691"/>
      <c r="I27" s="692">
        <f t="shared" si="0"/>
        <v>0</v>
      </c>
      <c r="J27" s="701"/>
      <c r="L27" s="690">
        <f t="shared" si="2"/>
        <v>0</v>
      </c>
      <c r="Q27" s="673">
        <f t="shared" si="1"/>
        <v>0</v>
      </c>
      <c r="R27" s="679">
        <f t="shared" si="3"/>
        <v>0</v>
      </c>
      <c r="S27" s="714"/>
    </row>
    <row r="28" spans="2:19" ht="12.75">
      <c r="B28" s="677" t="s">
        <v>169</v>
      </c>
      <c r="C28" s="676">
        <v>52540.85</v>
      </c>
      <c r="D28" s="677">
        <f>+'[1]TB03-31-04(Final)'!D654</f>
        <v>64199.27</v>
      </c>
      <c r="E28" s="677">
        <f>+'[1]TB03-31-04(Final)'!E657-D28</f>
        <v>442443.3300000001</v>
      </c>
      <c r="F28" s="690">
        <f>SUM(D28:E28)</f>
        <v>506642.6000000001</v>
      </c>
      <c r="G28" s="691"/>
      <c r="H28" s="691"/>
      <c r="I28" s="692">
        <f t="shared" si="0"/>
        <v>0</v>
      </c>
      <c r="J28" s="701">
        <f>+'[6]TB09-30-02(Final)'!$D$572</f>
        <v>60915.6</v>
      </c>
      <c r="K28" s="699">
        <f>+'[6]TB09-30-02(Final)'!$E$575-J28</f>
        <v>433011.91</v>
      </c>
      <c r="L28" s="690">
        <f t="shared" si="2"/>
        <v>493927.50999999995</v>
      </c>
      <c r="Q28" s="673">
        <f t="shared" si="1"/>
        <v>987855.0199999999</v>
      </c>
      <c r="R28" s="679">
        <f t="shared" si="3"/>
        <v>12715.090000000142</v>
      </c>
      <c r="S28" s="714">
        <f>R28/L28</f>
        <v>0.025742826108228197</v>
      </c>
    </row>
    <row r="29" spans="2:19" ht="12.75">
      <c r="B29" s="677" t="s">
        <v>170</v>
      </c>
      <c r="C29" s="676">
        <f>3911.93+556.52+147.7-0.79</f>
        <v>4615.36</v>
      </c>
      <c r="D29" s="677">
        <f>+'[1]TB03-31-04(Final)'!Z760</f>
        <v>6232.78</v>
      </c>
      <c r="E29" s="677">
        <f>+'[1]TB03-31-04(Final)'!Z761-D29</f>
        <v>43720.38000000001</v>
      </c>
      <c r="F29" s="690">
        <f>SUM(D29:E29)</f>
        <v>49953.16000000001</v>
      </c>
      <c r="G29" s="691"/>
      <c r="H29" s="691"/>
      <c r="I29" s="692"/>
      <c r="J29" s="701">
        <f>4560.4+633.08+166.63+5.08+7.99</f>
        <v>5373.179999999999</v>
      </c>
      <c r="K29" s="699">
        <f>SUM('[6]TB09-30-02(Final)'!$E$631:$E$670)-J29</f>
        <v>36787.85</v>
      </c>
      <c r="L29" s="690">
        <f t="shared" si="2"/>
        <v>42161.03</v>
      </c>
      <c r="Q29" s="673">
        <f t="shared" si="1"/>
        <v>84322.06</v>
      </c>
      <c r="R29" s="679">
        <f t="shared" si="3"/>
        <v>7792.130000000012</v>
      </c>
      <c r="S29" s="714">
        <f>R29/L29</f>
        <v>0.18481830258890763</v>
      </c>
    </row>
    <row r="30" spans="2:19" ht="12.75">
      <c r="B30" s="679"/>
      <c r="C30" s="676"/>
      <c r="D30" s="677"/>
      <c r="E30" s="677"/>
      <c r="F30" s="690">
        <f>SUM(D30:E30)</f>
        <v>0</v>
      </c>
      <c r="G30" s="691"/>
      <c r="H30" s="691"/>
      <c r="I30" s="692"/>
      <c r="J30" s="701"/>
      <c r="L30" s="690">
        <f t="shared" si="2"/>
        <v>0</v>
      </c>
      <c r="Q30" s="673">
        <f t="shared" si="1"/>
        <v>0</v>
      </c>
      <c r="R30" s="679">
        <f t="shared" si="3"/>
        <v>0</v>
      </c>
      <c r="S30" s="714"/>
    </row>
    <row r="31" spans="1:20" ht="12.75">
      <c r="A31" t="s">
        <v>328</v>
      </c>
      <c r="B31" s="679" t="s">
        <v>428</v>
      </c>
      <c r="C31" s="676">
        <f>248.53+79.86+13823.98+583+3163.07+9266.34</f>
        <v>27164.78</v>
      </c>
      <c r="D31" s="677">
        <f>+'[1]TB03-31-04(Final)'!Z720</f>
        <v>34486.11</v>
      </c>
      <c r="E31" s="677">
        <f>+'[1]TB03-31-04(Final)'!Z721-'[1]TB03-31-04(Final)'!Z720</f>
        <v>244292.7</v>
      </c>
      <c r="F31" s="690">
        <f>SUM(D31:E31)</f>
        <v>278778.81</v>
      </c>
      <c r="G31" s="691"/>
      <c r="H31" s="691"/>
      <c r="I31" s="692"/>
      <c r="J31" s="701">
        <f>253.57+92.43+12124.74+539.42+3593.13+2822.87</f>
        <v>19426.16</v>
      </c>
      <c r="K31" s="699">
        <f>SUM('[6]TB09-30-02(Final)'!$E$581:$E$630)-J31</f>
        <v>140199.27</v>
      </c>
      <c r="L31" s="690">
        <f t="shared" si="2"/>
        <v>159625.43</v>
      </c>
      <c r="Q31" s="673">
        <f t="shared" si="1"/>
        <v>319250.86</v>
      </c>
      <c r="R31" s="679">
        <f t="shared" si="3"/>
        <v>119153.38</v>
      </c>
      <c r="S31" s="714">
        <f>R31/L31</f>
        <v>0.7464561254431704</v>
      </c>
      <c r="T31" s="360">
        <v>137024.19</v>
      </c>
    </row>
    <row r="32" spans="2:20" ht="12.75">
      <c r="B32" s="677" t="s">
        <v>66</v>
      </c>
      <c r="C32" s="676"/>
      <c r="D32" s="677"/>
      <c r="E32" s="677"/>
      <c r="F32" s="690"/>
      <c r="G32" s="691"/>
      <c r="H32" s="691"/>
      <c r="I32" s="692"/>
      <c r="J32" s="701"/>
      <c r="L32" s="690">
        <f t="shared" si="2"/>
        <v>0</v>
      </c>
      <c r="Q32" s="673">
        <f t="shared" si="1"/>
        <v>0</v>
      </c>
      <c r="R32" s="679">
        <f t="shared" si="3"/>
        <v>0</v>
      </c>
      <c r="S32" s="714"/>
      <c r="T32" s="360">
        <v>22601.24</v>
      </c>
    </row>
    <row r="33" spans="2:20" ht="12.75">
      <c r="B33" s="677" t="s">
        <v>65</v>
      </c>
      <c r="C33" s="676"/>
      <c r="D33" s="677"/>
      <c r="E33" s="677"/>
      <c r="F33" s="690"/>
      <c r="G33" s="691"/>
      <c r="H33" s="691"/>
      <c r="I33" s="692"/>
      <c r="J33" s="701"/>
      <c r="L33" s="690">
        <f t="shared" si="2"/>
        <v>0</v>
      </c>
      <c r="Q33" s="673">
        <f t="shared" si="1"/>
        <v>0</v>
      </c>
      <c r="R33" s="679">
        <f t="shared" si="3"/>
        <v>0</v>
      </c>
      <c r="S33" s="714"/>
      <c r="T33" s="360">
        <v>0</v>
      </c>
    </row>
    <row r="34" spans="2:20" ht="12.75">
      <c r="B34" s="679"/>
      <c r="C34" s="676"/>
      <c r="D34" s="677"/>
      <c r="E34" s="677"/>
      <c r="F34" s="690"/>
      <c r="G34" s="691"/>
      <c r="H34" s="691"/>
      <c r="I34" s="692"/>
      <c r="J34" s="701"/>
      <c r="L34" s="690"/>
      <c r="Q34" s="673">
        <f t="shared" si="1"/>
        <v>0</v>
      </c>
      <c r="R34" s="679"/>
      <c r="S34" s="714"/>
      <c r="T34" t="s">
        <v>126</v>
      </c>
    </row>
    <row r="35" spans="1:20" ht="12.75">
      <c r="A35" t="s">
        <v>329</v>
      </c>
      <c r="B35" s="679" t="s">
        <v>144</v>
      </c>
      <c r="C35" s="676"/>
      <c r="D35" s="677">
        <f>+'[1]TB03-31-04(Final)'!Z963</f>
        <v>0</v>
      </c>
      <c r="E35" s="677">
        <f>+'[1]TB03-31-04(Final)'!E966</f>
        <v>0</v>
      </c>
      <c r="F35" s="690">
        <f aca="true" t="shared" si="4" ref="F35:F46">SUM(D35:E35)</f>
        <v>0</v>
      </c>
      <c r="G35" s="691"/>
      <c r="H35" s="691"/>
      <c r="I35" s="692"/>
      <c r="J35" s="701">
        <f>+'[6]TB09-30-02(Final)'!$D$872</f>
        <v>0</v>
      </c>
      <c r="K35" s="699">
        <f>+'[6]TB09-30-02(Final)'!$E$875-J35</f>
        <v>17941</v>
      </c>
      <c r="L35" s="690">
        <f t="shared" si="2"/>
        <v>17941</v>
      </c>
      <c r="Q35" s="673">
        <f t="shared" si="1"/>
        <v>35882</v>
      </c>
      <c r="R35" s="679">
        <f t="shared" si="3"/>
        <v>-17941</v>
      </c>
      <c r="S35" s="714">
        <f>R35/L35</f>
        <v>-1</v>
      </c>
      <c r="T35" t="s">
        <v>130</v>
      </c>
    </row>
    <row r="36" spans="2:19" ht="12.75">
      <c r="B36" s="679"/>
      <c r="C36" s="676"/>
      <c r="D36" s="677"/>
      <c r="E36" s="677"/>
      <c r="F36" s="690">
        <f t="shared" si="4"/>
        <v>0</v>
      </c>
      <c r="G36" s="691"/>
      <c r="H36" s="691"/>
      <c r="I36" s="692"/>
      <c r="J36" s="701"/>
      <c r="L36" s="690">
        <f t="shared" si="2"/>
        <v>0</v>
      </c>
      <c r="Q36" s="673">
        <f t="shared" si="1"/>
        <v>0</v>
      </c>
      <c r="R36" s="679">
        <f t="shared" si="3"/>
        <v>0</v>
      </c>
      <c r="S36" s="714"/>
    </row>
    <row r="37" spans="1:19" ht="12.75">
      <c r="A37" t="s">
        <v>330</v>
      </c>
      <c r="B37" s="679" t="s">
        <v>172</v>
      </c>
      <c r="C37" s="676"/>
      <c r="D37" s="677">
        <v>0</v>
      </c>
      <c r="E37" s="677">
        <v>700</v>
      </c>
      <c r="F37" s="690">
        <f t="shared" si="4"/>
        <v>700</v>
      </c>
      <c r="G37" s="691"/>
      <c r="H37" s="691"/>
      <c r="I37" s="692"/>
      <c r="J37" s="701">
        <v>0</v>
      </c>
      <c r="K37" s="699">
        <f>+'[6]TB09-30-02(Final)'!$E$708-J37</f>
        <v>1300</v>
      </c>
      <c r="L37" s="690">
        <f t="shared" si="2"/>
        <v>1300</v>
      </c>
      <c r="Q37" s="673">
        <f t="shared" si="1"/>
        <v>2600</v>
      </c>
      <c r="R37" s="679">
        <f t="shared" si="3"/>
        <v>-600</v>
      </c>
      <c r="S37" s="714">
        <f>R37/L37</f>
        <v>-0.46153846153846156</v>
      </c>
    </row>
    <row r="38" spans="2:19" ht="12.75">
      <c r="B38" s="679"/>
      <c r="C38" s="676"/>
      <c r="D38" s="677"/>
      <c r="E38" s="677"/>
      <c r="F38" s="690">
        <f t="shared" si="4"/>
        <v>0</v>
      </c>
      <c r="G38" s="691"/>
      <c r="H38" s="691"/>
      <c r="I38" s="692"/>
      <c r="J38" s="701"/>
      <c r="L38" s="690">
        <f t="shared" si="2"/>
        <v>0</v>
      </c>
      <c r="Q38" s="673">
        <f t="shared" si="1"/>
        <v>0</v>
      </c>
      <c r="R38" s="679">
        <f t="shared" si="3"/>
        <v>0</v>
      </c>
      <c r="S38" s="714"/>
    </row>
    <row r="39" spans="1:19" ht="12.75">
      <c r="A39" t="s">
        <v>331</v>
      </c>
      <c r="B39" s="679" t="s">
        <v>173</v>
      </c>
      <c r="C39" s="676">
        <v>1427.25</v>
      </c>
      <c r="D39" s="677">
        <f>+'[1]TB03-31-04(Final)'!Z955</f>
        <v>458.98</v>
      </c>
      <c r="E39" s="677">
        <f>+'[1]TB03-31-04(Final)'!Z958</f>
        <v>1732.87</v>
      </c>
      <c r="F39" s="690">
        <f t="shared" si="4"/>
        <v>2191.85</v>
      </c>
      <c r="G39" s="691"/>
      <c r="H39" s="691"/>
      <c r="I39" s="692"/>
      <c r="J39" s="701">
        <v>330.55</v>
      </c>
      <c r="K39" s="699">
        <f>SUM('[6]TB09-30-02(Final)'!$E$867)-J39</f>
        <v>3342.7299999999996</v>
      </c>
      <c r="L39" s="690">
        <f t="shared" si="2"/>
        <v>3673.2799999999997</v>
      </c>
      <c r="Q39" s="673">
        <f t="shared" si="1"/>
        <v>7346.5599999999995</v>
      </c>
      <c r="R39" s="679">
        <f t="shared" si="3"/>
        <v>-1481.4299999999998</v>
      </c>
      <c r="S39" s="714">
        <f>R39/L39</f>
        <v>-0.4032989589685512</v>
      </c>
    </row>
    <row r="40" spans="2:19" ht="12.75">
      <c r="B40" s="679"/>
      <c r="C40" s="676"/>
      <c r="D40" s="677"/>
      <c r="E40" s="677"/>
      <c r="F40" s="690">
        <f t="shared" si="4"/>
        <v>0</v>
      </c>
      <c r="G40" s="691"/>
      <c r="H40" s="691"/>
      <c r="I40" s="692"/>
      <c r="J40" s="701"/>
      <c r="L40" s="690">
        <f t="shared" si="2"/>
        <v>0</v>
      </c>
      <c r="Q40" s="673">
        <f t="shared" si="1"/>
        <v>0</v>
      </c>
      <c r="R40" s="679">
        <f t="shared" si="3"/>
        <v>0</v>
      </c>
      <c r="S40" s="714"/>
    </row>
    <row r="41" spans="1:19" ht="12.75">
      <c r="A41" t="s">
        <v>332</v>
      </c>
      <c r="B41" s="679" t="s">
        <v>174</v>
      </c>
      <c r="C41" s="676">
        <f>8755.56+916.17+869.2</f>
        <v>10540.93</v>
      </c>
      <c r="D41" s="677">
        <f>+'[1]TB03-31-04(Final)'!Z885+'[1]TB03-31-04(Final)'!Z893+'[1]TB03-31-04(Final)'!Z916</f>
        <v>10203.87</v>
      </c>
      <c r="E41" s="677">
        <f>+'[1]TB03-31-04(Final)'!Z896+'[1]TB03-31-04(Final)'!Z918-D41</f>
        <v>80439.4</v>
      </c>
      <c r="F41" s="690">
        <f t="shared" si="4"/>
        <v>90643.26999999999</v>
      </c>
      <c r="G41" s="691"/>
      <c r="H41" s="691"/>
      <c r="I41" s="692"/>
      <c r="J41" s="701">
        <f>8555.67+1016.99+833.91</f>
        <v>10406.57</v>
      </c>
      <c r="K41" s="699">
        <f>SUM('[6]TB09-30-02(Final)'!$E$798:$E$806)+'[6]TB09-30-02(Final)'!$E$828-J41</f>
        <v>82521.57999999999</v>
      </c>
      <c r="L41" s="690">
        <f t="shared" si="2"/>
        <v>92928.15</v>
      </c>
      <c r="Q41" s="673">
        <f t="shared" si="1"/>
        <v>185856.3</v>
      </c>
      <c r="R41" s="679">
        <f t="shared" si="3"/>
        <v>-2284.8800000000047</v>
      </c>
      <c r="S41" s="714">
        <f>R41/L41</f>
        <v>-0.024587598052904367</v>
      </c>
    </row>
    <row r="42" spans="2:19" ht="12.75">
      <c r="B42" s="679"/>
      <c r="C42" s="676"/>
      <c r="D42" s="677"/>
      <c r="E42" s="677"/>
      <c r="F42" s="690">
        <f t="shared" si="4"/>
        <v>0</v>
      </c>
      <c r="G42" s="691"/>
      <c r="H42" s="691"/>
      <c r="I42" s="692"/>
      <c r="J42" s="701"/>
      <c r="L42" s="690">
        <f t="shared" si="2"/>
        <v>0</v>
      </c>
      <c r="Q42" s="673">
        <f t="shared" si="1"/>
        <v>0</v>
      </c>
      <c r="R42" s="679">
        <f t="shared" si="3"/>
        <v>0</v>
      </c>
      <c r="S42" s="714"/>
    </row>
    <row r="43" spans="1:19" ht="12.75">
      <c r="A43" t="s">
        <v>333</v>
      </c>
      <c r="B43" s="679" t="s">
        <v>183</v>
      </c>
      <c r="C43" s="676">
        <v>1404</v>
      </c>
      <c r="D43" s="677">
        <f>+'[1]TB03-31-04(Final)'!Z879</f>
        <v>1666.56</v>
      </c>
      <c r="E43" s="677">
        <f>+'[1]TB03-31-04(Final)'!Z880-D43</f>
        <v>13585.060000000001</v>
      </c>
      <c r="F43" s="690">
        <f t="shared" si="4"/>
        <v>15251.62</v>
      </c>
      <c r="G43" s="691"/>
      <c r="H43" s="691"/>
      <c r="I43" s="692"/>
      <c r="J43" s="701">
        <v>1418.66</v>
      </c>
      <c r="K43" s="699">
        <f>SUM('[6]TB09-30-02(Final)'!$E$782)+'[6]TB09-30-02(Final)'!$D$789-J43</f>
        <v>11079.07</v>
      </c>
      <c r="L43" s="690">
        <f t="shared" si="2"/>
        <v>12497.73</v>
      </c>
      <c r="Q43" s="673">
        <f t="shared" si="1"/>
        <v>24995.46</v>
      </c>
      <c r="R43" s="679">
        <f t="shared" si="3"/>
        <v>2753.8900000000012</v>
      </c>
      <c r="S43" s="714">
        <f>R43/L43</f>
        <v>0.2203512157807859</v>
      </c>
    </row>
    <row r="44" spans="2:19" ht="12.75">
      <c r="B44" s="679"/>
      <c r="C44" s="676"/>
      <c r="D44" s="677"/>
      <c r="E44" s="677"/>
      <c r="F44" s="690">
        <f t="shared" si="4"/>
        <v>0</v>
      </c>
      <c r="G44" s="691"/>
      <c r="H44" s="691"/>
      <c r="I44" s="692"/>
      <c r="J44" s="701"/>
      <c r="L44" s="690">
        <f t="shared" si="2"/>
        <v>0</v>
      </c>
      <c r="Q44" s="673">
        <f t="shared" si="1"/>
        <v>0</v>
      </c>
      <c r="R44" s="679">
        <f t="shared" si="3"/>
        <v>0</v>
      </c>
      <c r="S44" s="714"/>
    </row>
    <row r="45" spans="1:19" ht="12.75">
      <c r="A45" t="s">
        <v>334</v>
      </c>
      <c r="B45" s="679" t="s">
        <v>25</v>
      </c>
      <c r="C45" s="676">
        <f>1424.49+806+206</f>
        <v>2436.49</v>
      </c>
      <c r="D45" s="677">
        <f>SUM(B46:B48)</f>
        <v>2435.74</v>
      </c>
      <c r="E45" s="677">
        <f>+'[1]TB03-31-04(Final)'!Z863-D45</f>
        <v>19064.65</v>
      </c>
      <c r="F45" s="690">
        <f t="shared" si="4"/>
        <v>21500.39</v>
      </c>
      <c r="G45" s="691"/>
      <c r="H45" s="691"/>
      <c r="I45" s="692"/>
      <c r="J45" s="701">
        <f>1843.4+1541.91+236.81</f>
        <v>3622.1200000000003</v>
      </c>
      <c r="K45" s="699">
        <f>SUM('[6]TB09-30-02(Final)'!$E$742:$E$773)-J45</f>
        <v>25378.04</v>
      </c>
      <c r="L45" s="690">
        <f t="shared" si="2"/>
        <v>29000.16</v>
      </c>
      <c r="Q45" s="673">
        <f t="shared" si="1"/>
        <v>58000.32</v>
      </c>
      <c r="R45" s="679">
        <f t="shared" si="3"/>
        <v>-7499.77</v>
      </c>
      <c r="S45" s="714">
        <f>R45/L45</f>
        <v>-0.2586113317995487</v>
      </c>
    </row>
    <row r="46" spans="2:19" ht="12.75" hidden="1">
      <c r="B46" s="679">
        <v>1424.49</v>
      </c>
      <c r="C46" s="676"/>
      <c r="D46" s="677"/>
      <c r="E46" s="677"/>
      <c r="F46" s="690">
        <f t="shared" si="4"/>
        <v>0</v>
      </c>
      <c r="G46" s="691"/>
      <c r="H46" s="691"/>
      <c r="I46" s="692"/>
      <c r="J46" s="701"/>
      <c r="L46" s="690">
        <f t="shared" si="2"/>
        <v>0</v>
      </c>
      <c r="Q46" s="673">
        <f t="shared" si="1"/>
        <v>0</v>
      </c>
      <c r="R46" s="679">
        <f t="shared" si="3"/>
        <v>0</v>
      </c>
      <c r="S46" s="714" t="e">
        <f>R46/L46</f>
        <v>#DIV/0!</v>
      </c>
    </row>
    <row r="47" spans="2:19" ht="12.75" hidden="1">
      <c r="B47" s="679">
        <v>805.55</v>
      </c>
      <c r="C47" s="676"/>
      <c r="D47" s="677"/>
      <c r="E47" s="677"/>
      <c r="F47" s="690"/>
      <c r="G47" s="691"/>
      <c r="H47" s="691"/>
      <c r="I47" s="692"/>
      <c r="J47" s="701"/>
      <c r="L47" s="690">
        <f t="shared" si="2"/>
        <v>0</v>
      </c>
      <c r="Q47" s="673">
        <f t="shared" si="1"/>
        <v>0</v>
      </c>
      <c r="R47" s="679">
        <f t="shared" si="3"/>
        <v>0</v>
      </c>
      <c r="S47" s="714" t="e">
        <f>R47/L47</f>
        <v>#DIV/0!</v>
      </c>
    </row>
    <row r="48" spans="2:19" ht="12.75" hidden="1">
      <c r="B48" s="679">
        <v>205.7</v>
      </c>
      <c r="C48" s="676"/>
      <c r="D48" s="677"/>
      <c r="E48" s="677"/>
      <c r="F48" s="690"/>
      <c r="G48" s="691"/>
      <c r="H48" s="691"/>
      <c r="I48" s="692"/>
      <c r="J48" s="701"/>
      <c r="L48" s="690">
        <f t="shared" si="2"/>
        <v>0</v>
      </c>
      <c r="Q48" s="673">
        <f t="shared" si="1"/>
        <v>0</v>
      </c>
      <c r="R48" s="679">
        <f t="shared" si="3"/>
        <v>0</v>
      </c>
      <c r="S48" s="714" t="e">
        <f>R48/L48</f>
        <v>#DIV/0!</v>
      </c>
    </row>
    <row r="49" spans="2:19" ht="12.75">
      <c r="B49" s="679"/>
      <c r="C49" s="676"/>
      <c r="D49" s="677"/>
      <c r="E49" s="677"/>
      <c r="F49" s="690"/>
      <c r="G49" s="691"/>
      <c r="H49" s="691"/>
      <c r="I49" s="692"/>
      <c r="J49" s="701"/>
      <c r="L49" s="690">
        <f t="shared" si="2"/>
        <v>0</v>
      </c>
      <c r="Q49" s="673">
        <f t="shared" si="1"/>
        <v>0</v>
      </c>
      <c r="R49" s="679">
        <f t="shared" si="3"/>
        <v>0</v>
      </c>
      <c r="S49" s="714"/>
    </row>
    <row r="50" spans="1:19" ht="12.75">
      <c r="A50" t="s">
        <v>335</v>
      </c>
      <c r="B50" s="679" t="s">
        <v>185</v>
      </c>
      <c r="C50" s="676">
        <f>801.69+675.35</f>
        <v>1477.04</v>
      </c>
      <c r="D50" s="677">
        <f>+'[1]TB03-31-04(Final)'!Z941</f>
        <v>2273.06</v>
      </c>
      <c r="E50" s="677">
        <f>+'[1]TB03-31-04(Final)'!Z942-D50</f>
        <v>23542.219999999998</v>
      </c>
      <c r="F50" s="690">
        <f>SUM(D50:E50)</f>
        <v>25815.28</v>
      </c>
      <c r="G50" s="691"/>
      <c r="H50" s="691"/>
      <c r="I50" s="692"/>
      <c r="J50" s="701">
        <f>263.34+1215.67+5.48</f>
        <v>1484.49</v>
      </c>
      <c r="K50" s="699">
        <f>SUM('[6]TB09-30-02(Final)'!$E$829:$E$860)-J50</f>
        <v>25704.69</v>
      </c>
      <c r="L50" s="690">
        <f t="shared" si="2"/>
        <v>27189.18</v>
      </c>
      <c r="Q50" s="673">
        <f t="shared" si="1"/>
        <v>54378.36</v>
      </c>
      <c r="R50" s="679">
        <f t="shared" si="3"/>
        <v>-1373.9000000000015</v>
      </c>
      <c r="S50" s="714">
        <f>R50/L50</f>
        <v>-0.05053113039819522</v>
      </c>
    </row>
    <row r="51" spans="2:19" ht="12.75">
      <c r="B51" s="679"/>
      <c r="C51" s="676"/>
      <c r="D51" s="677"/>
      <c r="E51" s="677"/>
      <c r="F51" s="690"/>
      <c r="G51" s="691"/>
      <c r="H51" s="691"/>
      <c r="I51" s="692"/>
      <c r="J51" s="701"/>
      <c r="L51" s="690">
        <f t="shared" si="2"/>
        <v>0</v>
      </c>
      <c r="Q51" s="673">
        <f t="shared" si="1"/>
        <v>0</v>
      </c>
      <c r="R51" s="679">
        <f t="shared" si="3"/>
        <v>0</v>
      </c>
      <c r="S51" s="714"/>
    </row>
    <row r="52" spans="1:19" ht="12.75">
      <c r="A52" t="s">
        <v>336</v>
      </c>
      <c r="B52" s="679" t="s">
        <v>175</v>
      </c>
      <c r="C52" s="676">
        <f>4337.84+1156.22</f>
        <v>5494.06</v>
      </c>
      <c r="D52" s="677">
        <f>+'[1]TB03-31-04(Final)'!Z911</f>
        <v>4994.889999999999</v>
      </c>
      <c r="E52" s="677">
        <f>+'[1]TB03-31-04(Final)'!Z912-D52</f>
        <v>35138.3</v>
      </c>
      <c r="F52" s="690">
        <f>SUM(D52:E52)</f>
        <v>40133.19</v>
      </c>
      <c r="G52" s="691"/>
      <c r="H52" s="691"/>
      <c r="I52" s="692"/>
      <c r="J52" s="701">
        <f>3829.73+1090.47</f>
        <v>4920.2</v>
      </c>
      <c r="K52" s="699">
        <f>SUM('[6]TB09-30-02(Final)'!$E$814:$E$823)-J52</f>
        <v>42403.07000000001</v>
      </c>
      <c r="L52" s="690">
        <f t="shared" si="2"/>
        <v>47323.270000000004</v>
      </c>
      <c r="Q52" s="673">
        <f t="shared" si="1"/>
        <v>94646.54000000001</v>
      </c>
      <c r="R52" s="679">
        <f t="shared" si="3"/>
        <v>-7190.080000000002</v>
      </c>
      <c r="S52" s="714">
        <f>R52/L52</f>
        <v>-0.15193540091375768</v>
      </c>
    </row>
    <row r="53" spans="2:19" ht="12.75">
      <c r="B53" s="679"/>
      <c r="C53" s="676"/>
      <c r="D53" s="677"/>
      <c r="E53" s="677"/>
      <c r="F53" s="690"/>
      <c r="G53" s="691"/>
      <c r="H53" s="691"/>
      <c r="I53" s="692"/>
      <c r="J53" s="701"/>
      <c r="L53" s="690">
        <f t="shared" si="2"/>
        <v>0</v>
      </c>
      <c r="Q53" s="673">
        <f t="shared" si="1"/>
        <v>0</v>
      </c>
      <c r="R53" s="679">
        <f t="shared" si="3"/>
        <v>0</v>
      </c>
      <c r="S53" s="714"/>
    </row>
    <row r="54" spans="1:20" ht="12.75">
      <c r="A54" t="s">
        <v>106</v>
      </c>
      <c r="B54" s="679" t="s">
        <v>27</v>
      </c>
      <c r="C54" s="676">
        <v>767.76</v>
      </c>
      <c r="D54" s="677">
        <f>+'[1]TB03-31-04(Final)'!Z781</f>
        <v>399.46</v>
      </c>
      <c r="E54" s="677">
        <f>+'[1]TB03-31-04(Final)'!Z784-D54</f>
        <v>17859.89</v>
      </c>
      <c r="F54" s="690">
        <f>SUM(D54:E54)</f>
        <v>18259.35</v>
      </c>
      <c r="G54" s="691"/>
      <c r="H54" s="691"/>
      <c r="I54" s="692"/>
      <c r="J54" s="701">
        <f>936.75+468.71+149.88</f>
        <v>1555.3400000000001</v>
      </c>
      <c r="K54" s="699">
        <f>SUM('[6]TB09-30-02(Final)'!$E$686:$E$703)-J54</f>
        <v>10897.34</v>
      </c>
      <c r="L54" s="690">
        <f t="shared" si="2"/>
        <v>12452.68</v>
      </c>
      <c r="Q54" s="673">
        <f t="shared" si="1"/>
        <v>24905.36</v>
      </c>
      <c r="R54" s="679">
        <f t="shared" si="3"/>
        <v>5806.669999999998</v>
      </c>
      <c r="S54" s="714">
        <f>R54/L54</f>
        <v>0.4662988208160812</v>
      </c>
      <c r="T54" t="s">
        <v>131</v>
      </c>
    </row>
    <row r="55" spans="2:19" ht="12.75">
      <c r="B55" s="663"/>
      <c r="C55" s="676"/>
      <c r="D55" s="664"/>
      <c r="E55" s="664"/>
      <c r="G55" s="664"/>
      <c r="H55" s="664"/>
      <c r="I55" s="360"/>
      <c r="R55" s="700"/>
      <c r="S55" s="719"/>
    </row>
    <row r="56" spans="2:19" ht="12.75">
      <c r="B56" s="663"/>
      <c r="C56" s="676"/>
      <c r="D56" s="664"/>
      <c r="E56" s="664"/>
      <c r="F56" s="672"/>
      <c r="G56" s="668"/>
      <c r="H56" s="668"/>
      <c r="I56" s="696"/>
      <c r="J56" s="726"/>
      <c r="K56" s="702"/>
      <c r="L56" s="759"/>
      <c r="M56" s="698"/>
      <c r="N56" s="698"/>
      <c r="O56" s="698"/>
      <c r="P56" s="698"/>
      <c r="Q56" s="698"/>
      <c r="R56" s="759"/>
      <c r="S56" s="720"/>
    </row>
    <row r="57" spans="2:19" ht="12.75">
      <c r="B57" s="59" t="s">
        <v>125</v>
      </c>
      <c r="C57" s="669"/>
      <c r="D57" s="668"/>
      <c r="E57" s="668"/>
      <c r="F57" s="711">
        <f>SUM(F15:F56)</f>
        <v>1672692.2500000002</v>
      </c>
      <c r="G57" s="757"/>
      <c r="H57" s="757"/>
      <c r="I57" s="757"/>
      <c r="J57" s="703"/>
      <c r="K57" s="758"/>
      <c r="L57" s="711">
        <f>SUM(L15:L56)</f>
        <v>1357795.3799999997</v>
      </c>
      <c r="M57" s="757"/>
      <c r="N57" s="757"/>
      <c r="O57" s="757"/>
      <c r="P57" s="757"/>
      <c r="Q57" s="757"/>
      <c r="R57" s="711">
        <f>+F57-L57</f>
        <v>314896.8700000006</v>
      </c>
      <c r="S57" s="714">
        <f>R57/L57</f>
        <v>0.23191776510537299</v>
      </c>
    </row>
    <row r="58" spans="1:19" s="661" customFormat="1" ht="12.75">
      <c r="A58" s="749" t="s">
        <v>107</v>
      </c>
      <c r="B58" s="750" t="s">
        <v>117</v>
      </c>
      <c r="C58" s="751">
        <f>SUM(C25:C57)</f>
        <v>108411.12999999999</v>
      </c>
      <c r="D58" s="751">
        <f>SUM(D11:D57)-1</f>
        <v>4566841.06</v>
      </c>
      <c r="E58" s="751">
        <f>SUM(E11:E54)</f>
        <v>1544594.02</v>
      </c>
      <c r="F58" s="751">
        <f>SUM(F11:F55)</f>
        <v>6111436.079999999</v>
      </c>
      <c r="G58" s="752"/>
      <c r="H58" s="752"/>
      <c r="I58" s="753"/>
      <c r="J58" s="754">
        <f>SUM(J11:J57)</f>
        <v>4077227.4899999998</v>
      </c>
      <c r="K58" s="755">
        <f>SUM(K10:K57)</f>
        <v>1257968.2800000003</v>
      </c>
      <c r="L58" s="751">
        <f>SUM(L10:L55)</f>
        <v>5335195.77</v>
      </c>
      <c r="M58" s="749"/>
      <c r="N58" s="749"/>
      <c r="O58" s="749"/>
      <c r="P58" s="749"/>
      <c r="Q58" s="749"/>
      <c r="R58" s="751">
        <f>+F58-L58</f>
        <v>776240.3099999996</v>
      </c>
      <c r="S58" s="756">
        <f>R58/L58</f>
        <v>0.14549425053244103</v>
      </c>
    </row>
    <row r="59" spans="1:20" ht="12.75">
      <c r="A59" t="s">
        <v>108</v>
      </c>
      <c r="B59" s="679" t="s">
        <v>176</v>
      </c>
      <c r="C59" s="677"/>
      <c r="D59" s="690"/>
      <c r="E59" s="690">
        <f>+'[1]TB03-31-04(Final)'!E644</f>
        <v>22313.94</v>
      </c>
      <c r="F59" s="690">
        <f>SUM(D59:E59)</f>
        <v>22313.94</v>
      </c>
      <c r="G59" s="691"/>
      <c r="H59" s="691"/>
      <c r="I59" s="692"/>
      <c r="K59" s="699">
        <f>SUM('[6]TB09-30-02(Final)'!$E$562)-J59</f>
        <v>11580</v>
      </c>
      <c r="L59" s="690">
        <f>SUM(J59:K59)</f>
        <v>11580</v>
      </c>
      <c r="R59" s="679">
        <f t="shared" si="3"/>
        <v>10733.939999999999</v>
      </c>
      <c r="S59" s="714">
        <f>R59/L59</f>
        <v>0.9269378238341968</v>
      </c>
      <c r="T59" t="s">
        <v>128</v>
      </c>
    </row>
    <row r="60" spans="2:19" ht="12.75">
      <c r="B60" s="662"/>
      <c r="C60" s="677"/>
      <c r="D60" s="691"/>
      <c r="E60" s="691"/>
      <c r="F60" s="693"/>
      <c r="G60" s="691"/>
      <c r="H60" s="691"/>
      <c r="I60" s="692"/>
      <c r="J60" s="699" t="s">
        <v>93</v>
      </c>
      <c r="L60" s="721"/>
      <c r="R60" s="670">
        <f t="shared" si="3"/>
        <v>0</v>
      </c>
      <c r="S60" s="717"/>
    </row>
    <row r="61" spans="1:19" ht="12.75">
      <c r="A61" t="s">
        <v>109</v>
      </c>
      <c r="B61" s="59" t="s">
        <v>177</v>
      </c>
      <c r="C61" s="680"/>
      <c r="D61" s="691"/>
      <c r="E61" s="691"/>
      <c r="F61" s="721"/>
      <c r="G61" s="722"/>
      <c r="H61" s="722"/>
      <c r="I61" s="723"/>
      <c r="L61" s="721"/>
      <c r="R61" s="670">
        <f t="shared" si="3"/>
        <v>0</v>
      </c>
      <c r="S61" s="717"/>
    </row>
    <row r="62" spans="2:19" ht="12.75">
      <c r="B62" s="677" t="s">
        <v>178</v>
      </c>
      <c r="C62" s="677"/>
      <c r="D62" s="692">
        <f>+'[1]TB03-31-04(Final)'!Z790</f>
        <v>289.58</v>
      </c>
      <c r="E62" s="693">
        <v>0</v>
      </c>
      <c r="F62" s="721">
        <f>SUM(D62:E62)</f>
        <v>289.58</v>
      </c>
      <c r="G62" s="722"/>
      <c r="H62" s="722"/>
      <c r="I62" s="723"/>
      <c r="L62" s="721"/>
      <c r="R62" s="670">
        <f t="shared" si="3"/>
        <v>289.58</v>
      </c>
      <c r="S62" s="717"/>
    </row>
    <row r="63" spans="2:19" ht="12.75">
      <c r="B63" s="677" t="s">
        <v>179</v>
      </c>
      <c r="C63" s="677"/>
      <c r="D63" s="692" t="e">
        <f>+'[1]TB03-31-04(Final)'!D991</f>
        <v>#REF!</v>
      </c>
      <c r="E63" s="692">
        <f>+'[1]TB03-31-04(Final)'!E994</f>
        <v>0</v>
      </c>
      <c r="F63" s="721" t="e">
        <f>SUM(D63:E63)</f>
        <v>#REF!</v>
      </c>
      <c r="G63" s="722"/>
      <c r="H63" s="722"/>
      <c r="I63" s="723"/>
      <c r="L63" s="721"/>
      <c r="R63" s="670" t="e">
        <f t="shared" si="3"/>
        <v>#REF!</v>
      </c>
      <c r="S63" s="717"/>
    </row>
    <row r="64" spans="2:20" ht="12.75">
      <c r="B64" s="677" t="s">
        <v>184</v>
      </c>
      <c r="C64" s="678">
        <f>209.55+403.86+1554.27</f>
        <v>2167.6800000000003</v>
      </c>
      <c r="D64" s="690">
        <f>+'[1]TB03-31-04(Final)'!Z830</f>
        <v>6929.51</v>
      </c>
      <c r="E64" s="690">
        <f>+'[1]TB03-31-04(Final)'!Z831-D64</f>
        <v>20592.989999999998</v>
      </c>
      <c r="F64" s="690">
        <f>SUM(D64:E64)</f>
        <v>27522.5</v>
      </c>
      <c r="G64" s="691"/>
      <c r="H64" s="691"/>
      <c r="I64" s="692"/>
      <c r="J64" s="699">
        <f>-475.32+120-425.35</f>
        <v>-780.6700000000001</v>
      </c>
      <c r="K64" s="699">
        <f>SUM('[6]TB09-30-02(Final)'!$E$710:$E$741)-J64</f>
        <v>1693.6599999999994</v>
      </c>
      <c r="L64" s="690">
        <f>SUM(J64:K64)</f>
        <v>912.9899999999993</v>
      </c>
      <c r="R64" s="679">
        <f t="shared" si="3"/>
        <v>26609.510000000002</v>
      </c>
      <c r="S64" s="714">
        <f>R64/L64</f>
        <v>29.145456138621476</v>
      </c>
      <c r="T64" t="s">
        <v>127</v>
      </c>
    </row>
    <row r="65" spans="2:19" ht="12.75">
      <c r="B65" s="677" t="s">
        <v>232</v>
      </c>
      <c r="C65" s="681">
        <f>712.12-2.22-102</f>
        <v>607.9</v>
      </c>
      <c r="D65" s="694">
        <f>+'[1]TB03-31-04(Final)'!Z1001-102</f>
        <v>700.17</v>
      </c>
      <c r="E65" s="694">
        <f>+'[1]TB03-31-04(Final)'!Z1003+102</f>
        <v>13523.92</v>
      </c>
      <c r="F65" s="694">
        <f>SUM(D65:E65)</f>
        <v>14224.09</v>
      </c>
      <c r="G65" s="691"/>
      <c r="H65" s="691"/>
      <c r="I65" s="692"/>
      <c r="J65" s="702">
        <f>913.62+176.46+56.22</f>
        <v>1146.3</v>
      </c>
      <c r="K65" s="702">
        <f>(7314.87-2304.97)-J65</f>
        <v>3863.5999999999995</v>
      </c>
      <c r="L65" s="694">
        <f>SUM(J65:K65)</f>
        <v>5009.9</v>
      </c>
      <c r="R65" s="686">
        <f t="shared" si="3"/>
        <v>9214.19</v>
      </c>
      <c r="S65" s="718">
        <f>R65/L65</f>
        <v>1.839196391145532</v>
      </c>
    </row>
    <row r="66" spans="2:19" ht="13.5" thickBot="1">
      <c r="B66" s="59" t="s">
        <v>122</v>
      </c>
      <c r="C66" s="735"/>
      <c r="D66" s="679"/>
      <c r="E66" s="679"/>
      <c r="F66" s="736">
        <f>+F57+F59+F64+F65</f>
        <v>1736752.7800000003</v>
      </c>
      <c r="G66" s="737"/>
      <c r="H66" s="737"/>
      <c r="I66" s="738"/>
      <c r="J66" s="739"/>
      <c r="K66" s="739"/>
      <c r="L66" s="736">
        <f>+L57+L59+L64+L65</f>
        <v>1375298.2699999996</v>
      </c>
      <c r="M66" s="728"/>
      <c r="N66" s="728"/>
      <c r="O66" s="728"/>
      <c r="P66" s="728"/>
      <c r="Q66" s="728"/>
      <c r="R66" s="729"/>
      <c r="S66" s="730"/>
    </row>
    <row r="67" spans="2:19" ht="13.5" thickTop="1">
      <c r="B67" s="74" t="s">
        <v>124</v>
      </c>
      <c r="C67" s="697"/>
      <c r="D67" s="690"/>
      <c r="E67" s="690"/>
      <c r="F67" s="690">
        <v>-111187.2</v>
      </c>
      <c r="G67" s="731"/>
      <c r="H67" s="731"/>
      <c r="I67" s="732"/>
      <c r="J67" s="704"/>
      <c r="K67" s="704"/>
      <c r="L67" s="690">
        <v>-100193</v>
      </c>
      <c r="M67" s="733"/>
      <c r="N67" s="733"/>
      <c r="O67" s="733"/>
      <c r="P67" s="733"/>
      <c r="Q67" s="733"/>
      <c r="R67" s="709"/>
      <c r="S67" s="734"/>
    </row>
    <row r="68" spans="2:19" s="740" customFormat="1" ht="13.5" thickBot="1">
      <c r="B68" s="59" t="s">
        <v>123</v>
      </c>
      <c r="C68" s="735"/>
      <c r="D68" s="679"/>
      <c r="E68" s="679"/>
      <c r="F68" s="745">
        <f>+F66+F67</f>
        <v>1625565.5800000003</v>
      </c>
      <c r="G68" s="746"/>
      <c r="H68" s="746"/>
      <c r="I68" s="746"/>
      <c r="J68" s="747"/>
      <c r="K68" s="747"/>
      <c r="L68" s="745">
        <f>+L66+L67</f>
        <v>1275105.2699999996</v>
      </c>
      <c r="M68" s="741"/>
      <c r="N68" s="741"/>
      <c r="O68" s="741"/>
      <c r="P68" s="741"/>
      <c r="Q68" s="741"/>
      <c r="R68" s="745">
        <f>+F68-L68</f>
        <v>350460.31000000075</v>
      </c>
      <c r="S68" s="748">
        <f>R68/L68</f>
        <v>0.2748481386168225</v>
      </c>
    </row>
    <row r="69" spans="2:19" s="740" customFormat="1" ht="12.75">
      <c r="B69" s="59"/>
      <c r="C69" s="735"/>
      <c r="D69" s="679"/>
      <c r="E69" s="679"/>
      <c r="F69" s="742"/>
      <c r="G69" s="743"/>
      <c r="H69" s="743"/>
      <c r="I69" s="743"/>
      <c r="J69" s="744"/>
      <c r="K69" s="744"/>
      <c r="L69" s="742"/>
      <c r="M69" s="741"/>
      <c r="N69" s="741"/>
      <c r="O69" s="741"/>
      <c r="P69" s="741"/>
      <c r="Q69" s="741"/>
      <c r="R69" s="709"/>
      <c r="S69" s="734"/>
    </row>
    <row r="70" spans="1:19" s="661" customFormat="1" ht="12.75">
      <c r="A70" s="661" t="s">
        <v>110</v>
      </c>
      <c r="B70" s="59" t="s">
        <v>180</v>
      </c>
      <c r="C70" s="679">
        <f>+C58+C64+C65</f>
        <v>111186.70999999999</v>
      </c>
      <c r="D70" s="667" t="e">
        <f>SUM(D58:D65)+1</f>
        <v>#REF!</v>
      </c>
      <c r="E70" s="667">
        <f>SUM(E58:E65)</f>
        <v>1601024.8699999999</v>
      </c>
      <c r="F70" s="667" t="e">
        <f>SUM(F58:F65)</f>
        <v>#REF!</v>
      </c>
      <c r="G70" s="665"/>
      <c r="H70" s="665"/>
      <c r="I70" s="695"/>
      <c r="J70" s="705">
        <f>SUM(J58:J65)</f>
        <v>4077593.1199999996</v>
      </c>
      <c r="K70" s="703">
        <f>SUM(K58:K65)</f>
        <v>1275105.5400000003</v>
      </c>
      <c r="L70" s="667">
        <f>SUM(L58:L65)</f>
        <v>5352698.66</v>
      </c>
      <c r="S70" s="716"/>
    </row>
    <row r="71" spans="2:18" ht="12.75">
      <c r="B71" s="685" t="s">
        <v>29</v>
      </c>
      <c r="C71" s="364">
        <v>111187</v>
      </c>
      <c r="D71" s="686">
        <v>3400757</v>
      </c>
      <c r="E71" s="686">
        <v>1600894</v>
      </c>
      <c r="F71" s="686">
        <v>5001652</v>
      </c>
      <c r="G71" s="668"/>
      <c r="H71" s="668"/>
      <c r="I71" s="696"/>
      <c r="J71" s="704">
        <v>4077593</v>
      </c>
      <c r="K71" s="699">
        <f>1263526+11580</f>
        <v>1275106</v>
      </c>
      <c r="L71" s="686">
        <f>SUM(J71:K71)</f>
        <v>5352699</v>
      </c>
      <c r="R71" s="712"/>
    </row>
    <row r="72" spans="2:19" ht="13.5" thickBot="1">
      <c r="B72" s="727" t="s">
        <v>31</v>
      </c>
      <c r="C72" s="364">
        <f>+C70-C71</f>
        <v>-0.2900000000081491</v>
      </c>
      <c r="D72" s="687" t="e">
        <f>+D70-D71</f>
        <v>#REF!</v>
      </c>
      <c r="E72" s="687">
        <f>+E70-E71</f>
        <v>130.86999999987893</v>
      </c>
      <c r="F72" s="687" t="e">
        <f>+F70-F71</f>
        <v>#REF!</v>
      </c>
      <c r="G72" s="664"/>
      <c r="H72" s="664"/>
      <c r="I72" s="664"/>
      <c r="J72" s="706">
        <f>+J70-J71</f>
        <v>0.11999999964609742</v>
      </c>
      <c r="K72" s="706">
        <f>+K70-K71</f>
        <v>-0.45999999972991645</v>
      </c>
      <c r="L72" s="687">
        <f>+L70-L71</f>
        <v>-0.3399999998509884</v>
      </c>
      <c r="R72" s="713"/>
      <c r="S72" s="724"/>
    </row>
    <row r="73" spans="1:18" ht="13.5" thickTop="1">
      <c r="A73" t="s">
        <v>111</v>
      </c>
      <c r="B73" s="679" t="s">
        <v>181</v>
      </c>
      <c r="D73" s="679">
        <v>0</v>
      </c>
      <c r="E73" s="679">
        <v>305438</v>
      </c>
      <c r="F73" s="679">
        <f>SUM(D73:E73)</f>
        <v>305438</v>
      </c>
      <c r="G73" s="664"/>
      <c r="H73" s="664"/>
      <c r="I73" s="664"/>
      <c r="K73" s="699">
        <v>287179</v>
      </c>
      <c r="L73" s="679">
        <f>SUM(J73:K73)</f>
        <v>287179</v>
      </c>
      <c r="R73" s="661"/>
    </row>
    <row r="74" spans="1:18" ht="12.75">
      <c r="A74" t="s">
        <v>112</v>
      </c>
      <c r="B74" s="679" t="s">
        <v>28</v>
      </c>
      <c r="C74" s="669"/>
      <c r="D74" s="686">
        <v>0</v>
      </c>
      <c r="E74" s="686">
        <v>309881</v>
      </c>
      <c r="F74" s="686">
        <f>SUM(D74:E74)</f>
        <v>309881</v>
      </c>
      <c r="G74" s="664"/>
      <c r="H74" s="664"/>
      <c r="I74" s="664"/>
      <c r="J74" s="702"/>
      <c r="K74" s="699">
        <v>453634</v>
      </c>
      <c r="L74" s="686">
        <f>SUM(J74:K74)</f>
        <v>453634</v>
      </c>
      <c r="R74" s="661"/>
    </row>
    <row r="75" spans="2:19" ht="12.75">
      <c r="B75" s="679" t="s">
        <v>30</v>
      </c>
      <c r="D75" s="360">
        <f>+D73-D74</f>
        <v>0</v>
      </c>
      <c r="E75" s="679">
        <f>-E73+E74</f>
        <v>4443</v>
      </c>
      <c r="F75" s="679">
        <f>-F73+F74</f>
        <v>4443</v>
      </c>
      <c r="G75" s="664"/>
      <c r="H75" s="664"/>
      <c r="I75" s="664"/>
      <c r="J75" s="699">
        <f>SUM(J73:J74)</f>
        <v>0</v>
      </c>
      <c r="K75" s="707">
        <f>-K73+K74</f>
        <v>166455</v>
      </c>
      <c r="L75" s="679">
        <f>SUM(J75:K75)</f>
        <v>166455</v>
      </c>
      <c r="R75" s="708"/>
      <c r="S75" s="725"/>
    </row>
    <row r="76" spans="1:19" ht="13.5" thickBot="1">
      <c r="A76" t="s">
        <v>113</v>
      </c>
      <c r="B76" s="59" t="s">
        <v>182</v>
      </c>
      <c r="C76" s="675">
        <f>+C70-C73+C74</f>
        <v>111186.70999999999</v>
      </c>
      <c r="D76" s="675" t="e">
        <f>+D70-D73+D74</f>
        <v>#REF!</v>
      </c>
      <c r="E76" s="675">
        <f>+E70-E73+E74</f>
        <v>1605467.8699999999</v>
      </c>
      <c r="F76" s="764">
        <f>+F71+F75</f>
        <v>5006095</v>
      </c>
      <c r="G76" s="765"/>
      <c r="H76" s="765"/>
      <c r="I76" s="765"/>
      <c r="J76" s="766">
        <f>+J70-J73+J74</f>
        <v>4077593.1199999996</v>
      </c>
      <c r="K76" s="766">
        <f>+K70-K73+K74</f>
        <v>1441560.5400000003</v>
      </c>
      <c r="L76" s="764">
        <f>+L70-L73+L74</f>
        <v>5519153.66</v>
      </c>
      <c r="R76" s="713"/>
      <c r="S76" s="724"/>
    </row>
    <row r="77" spans="2:18" ht="13.5" thickTop="1">
      <c r="B77" s="685"/>
      <c r="E77" s="664">
        <v>1600894</v>
      </c>
      <c r="F77" s="670" t="e">
        <f>+F70-F73+F74</f>
        <v>#REF!</v>
      </c>
      <c r="J77" s="701"/>
      <c r="K77" s="699">
        <v>1263526</v>
      </c>
      <c r="L77" s="670">
        <f>+L70-L73+L74</f>
        <v>5519153.66</v>
      </c>
      <c r="R77" s="661"/>
    </row>
    <row r="78" spans="5:12" ht="12.75">
      <c r="E78" s="689">
        <f>+E76-E77</f>
        <v>4573.869999999879</v>
      </c>
      <c r="L78" s="670"/>
    </row>
    <row r="79" spans="2:11" ht="12.75">
      <c r="B79" s="685"/>
      <c r="E79" s="360"/>
      <c r="K79" s="699">
        <f>+K75-K78</f>
        <v>166455</v>
      </c>
    </row>
    <row r="80" ht="12.75">
      <c r="E80" s="689"/>
    </row>
    <row r="81" ht="12.75">
      <c r="E81" s="360"/>
    </row>
    <row r="82" spans="2:5" ht="12.75">
      <c r="B82" s="685"/>
      <c r="E82" s="689"/>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0.7109375" style="14" customWidth="1"/>
    <col min="2" max="4" width="15.7109375" style="481" customWidth="1"/>
    <col min="5" max="5" width="20.57421875" style="481" bestFit="1" customWidth="1"/>
    <col min="6" max="16384" width="15.7109375" style="14" customWidth="1"/>
  </cols>
  <sheetData>
    <row r="1" spans="1:5" s="11" customFormat="1" ht="30" customHeight="1">
      <c r="A1" s="967" t="s">
        <v>254</v>
      </c>
      <c r="B1" s="967"/>
      <c r="C1" s="967"/>
      <c r="D1" s="967"/>
      <c r="E1" s="967"/>
    </row>
    <row r="2" spans="1:5" s="11" customFormat="1" ht="15" customHeight="1">
      <c r="A2" s="946"/>
      <c r="B2" s="946"/>
      <c r="C2" s="946"/>
      <c r="D2" s="946"/>
      <c r="E2" s="946"/>
    </row>
    <row r="3" spans="1:5" s="12" customFormat="1" ht="15" customHeight="1">
      <c r="A3" s="968" t="s">
        <v>208</v>
      </c>
      <c r="B3" s="968"/>
      <c r="C3" s="968"/>
      <c r="D3" s="968"/>
      <c r="E3" s="968"/>
    </row>
    <row r="4" spans="1:5" s="12" customFormat="1" ht="15" customHeight="1">
      <c r="A4" s="969" t="s">
        <v>481</v>
      </c>
      <c r="B4" s="969"/>
      <c r="C4" s="969"/>
      <c r="D4" s="969"/>
      <c r="E4" s="969"/>
    </row>
    <row r="5" spans="1:5" s="12" customFormat="1" ht="15" customHeight="1">
      <c r="A5" s="786"/>
      <c r="B5" s="786"/>
      <c r="C5" s="786"/>
      <c r="D5" s="786"/>
      <c r="E5" s="786"/>
    </row>
    <row r="6" spans="1:5" ht="45" customHeight="1">
      <c r="A6" s="837"/>
      <c r="B6" s="836" t="s">
        <v>209</v>
      </c>
      <c r="C6" s="836" t="s">
        <v>210</v>
      </c>
      <c r="D6" s="836" t="s">
        <v>211</v>
      </c>
      <c r="E6" s="836" t="s">
        <v>212</v>
      </c>
    </row>
    <row r="7" spans="1:5" ht="15" customHeight="1">
      <c r="A7" s="838" t="s">
        <v>256</v>
      </c>
      <c r="B7" s="476"/>
      <c r="C7" s="476"/>
      <c r="D7" s="476"/>
      <c r="E7" s="476"/>
    </row>
    <row r="8" spans="1:5" ht="15" customHeight="1">
      <c r="A8" s="839" t="s">
        <v>497</v>
      </c>
      <c r="B8" s="477">
        <f>'[15]TRIAL BALANCE'!$F$16</f>
        <v>2105349.54</v>
      </c>
      <c r="C8" s="484">
        <v>0</v>
      </c>
      <c r="D8" s="484">
        <v>0</v>
      </c>
      <c r="E8" s="477">
        <f>SUM(B8:D8)</f>
        <v>2105349.54</v>
      </c>
    </row>
    <row r="9" spans="1:5" ht="15" customHeight="1">
      <c r="A9" s="839" t="s">
        <v>498</v>
      </c>
      <c r="B9" s="485">
        <f>'[15]TRIAL BALANCE'!$F$19</f>
        <v>10034979.41</v>
      </c>
      <c r="C9" s="484">
        <v>0</v>
      </c>
      <c r="D9" s="484">
        <v>0</v>
      </c>
      <c r="E9" s="485">
        <f>SUM(B9:D9)</f>
        <v>10034979.41</v>
      </c>
    </row>
    <row r="10" spans="1:5" ht="15" customHeight="1">
      <c r="A10" s="839" t="s">
        <v>257</v>
      </c>
      <c r="B10" s="485">
        <v>0</v>
      </c>
      <c r="C10" s="485">
        <f>'[13]TRIAL BALANCE @ 10-26-04'!F23</f>
        <v>38063.41</v>
      </c>
      <c r="D10" s="485">
        <v>0</v>
      </c>
      <c r="E10" s="485">
        <f>SUM(B10:D10)</f>
        <v>38063.41</v>
      </c>
    </row>
    <row r="11" spans="1:5" ht="15" customHeight="1">
      <c r="A11" s="839" t="s">
        <v>258</v>
      </c>
      <c r="B11" s="485">
        <f>367611.4-220938.67</f>
        <v>146672.73</v>
      </c>
      <c r="C11" s="485">
        <v>0</v>
      </c>
      <c r="D11" s="485">
        <f>B11</f>
        <v>146672.73</v>
      </c>
      <c r="E11" s="485">
        <f>+B11-D11</f>
        <v>0</v>
      </c>
    </row>
    <row r="12" spans="1:5" ht="15" customHeight="1">
      <c r="A12" s="839" t="s">
        <v>260</v>
      </c>
      <c r="B12" s="485">
        <f>'[13]TRIAL BALANCE @ 10-26-04'!F34</f>
        <v>55959.189999999995</v>
      </c>
      <c r="C12" s="485">
        <v>0</v>
      </c>
      <c r="D12" s="485">
        <v>0</v>
      </c>
      <c r="E12" s="485">
        <f>+B12-D12</f>
        <v>55959.189999999995</v>
      </c>
    </row>
    <row r="13" spans="1:5" ht="15" customHeight="1">
      <c r="A13" s="839" t="s">
        <v>261</v>
      </c>
      <c r="B13" s="485">
        <f>75838.16-32674.5</f>
        <v>43163.66</v>
      </c>
      <c r="C13" s="485">
        <v>0</v>
      </c>
      <c r="D13" s="485">
        <f>B13</f>
        <v>43163.66</v>
      </c>
      <c r="E13" s="485">
        <f>+B13-D13</f>
        <v>0</v>
      </c>
    </row>
    <row r="14" spans="1:6" ht="15" customHeight="1">
      <c r="A14" s="371" t="s">
        <v>455</v>
      </c>
      <c r="B14" s="486">
        <f>'[13]TRIAL BALANCE @ 10-26-04'!F27</f>
        <v>60</v>
      </c>
      <c r="C14" s="485">
        <v>0</v>
      </c>
      <c r="D14" s="485">
        <v>0</v>
      </c>
      <c r="E14" s="485">
        <f>+B14-C14-D14</f>
        <v>60</v>
      </c>
      <c r="F14" s="846"/>
    </row>
    <row r="15" spans="1:5" ht="15" customHeight="1">
      <c r="A15" s="840" t="s">
        <v>262</v>
      </c>
      <c r="B15" s="478">
        <f>SUM(B8:B14)</f>
        <v>12386184.53</v>
      </c>
      <c r="C15" s="478">
        <f>SUM(C8:C14)</f>
        <v>38063.41</v>
      </c>
      <c r="D15" s="478">
        <f>SUM(D8:D14)+1</f>
        <v>189837.39</v>
      </c>
      <c r="E15" s="478">
        <f>SUM(E8:E14)-1</f>
        <v>12234410.549999999</v>
      </c>
    </row>
    <row r="16" spans="1:5" ht="15" customHeight="1">
      <c r="A16" s="841"/>
      <c r="B16" s="479"/>
      <c r="C16" s="479"/>
      <c r="D16" s="479"/>
      <c r="E16" s="479"/>
    </row>
    <row r="17" spans="1:5" ht="15" customHeight="1">
      <c r="A17" s="842" t="s">
        <v>263</v>
      </c>
      <c r="B17" s="479"/>
      <c r="C17" s="479"/>
      <c r="D17" s="479"/>
      <c r="E17" s="479"/>
    </row>
    <row r="18" spans="1:5" ht="15" customHeight="1">
      <c r="A18" s="841" t="s">
        <v>264</v>
      </c>
      <c r="B18" s="479"/>
      <c r="C18" s="479"/>
      <c r="D18" s="479" t="s">
        <v>264</v>
      </c>
      <c r="E18" s="479"/>
    </row>
    <row r="19" spans="1:5" ht="15" customHeight="1">
      <c r="A19" s="843" t="s">
        <v>441</v>
      </c>
      <c r="B19" s="479"/>
      <c r="C19" s="480"/>
      <c r="D19" s="488">
        <f>-'[13]TRIAL BALANCE @ 10-26-04'!F170</f>
        <v>1434816</v>
      </c>
      <c r="E19" s="479"/>
    </row>
    <row r="20" spans="1:5" ht="15" customHeight="1">
      <c r="A20" s="843" t="s">
        <v>442</v>
      </c>
      <c r="B20" s="479"/>
      <c r="C20" s="480"/>
      <c r="D20" s="488">
        <f>-'[13]TRIAL BALANCE @ 10-26-04'!F172</f>
        <v>505354.22</v>
      </c>
      <c r="E20" s="479"/>
    </row>
    <row r="21" spans="1:5" ht="15" customHeight="1">
      <c r="A21" s="843" t="s">
        <v>72</v>
      </c>
      <c r="B21" s="479"/>
      <c r="C21" s="480"/>
      <c r="D21" s="488">
        <f>-'[13]TRIAL BALANCE @ 10-26-04'!F151-'[13]TRIAL BALANCE @ 10-26-04'!F168</f>
        <v>464897.94</v>
      </c>
      <c r="E21" s="479"/>
    </row>
    <row r="22" spans="1:5" ht="15" customHeight="1">
      <c r="A22" s="843" t="s">
        <v>17</v>
      </c>
      <c r="B22" s="479"/>
      <c r="C22" s="480"/>
      <c r="D22" s="488">
        <f>-'[13]TRIAL BALANCE @ 10-26-04'!F176</f>
        <v>487942</v>
      </c>
      <c r="E22" s="479"/>
    </row>
    <row r="23" spans="1:5" ht="15" customHeight="1">
      <c r="A23" s="843" t="s">
        <v>78</v>
      </c>
      <c r="B23" s="479"/>
      <c r="C23" s="551"/>
      <c r="D23" s="488">
        <f>-'[13]TRIAL BALANCE @ 10-26-04'!F180</f>
        <v>245024.37</v>
      </c>
      <c r="E23" s="479"/>
    </row>
    <row r="24" spans="1:5" ht="15" customHeight="1">
      <c r="A24" s="843" t="s">
        <v>452</v>
      </c>
      <c r="B24" s="479"/>
      <c r="C24" s="551"/>
      <c r="D24" s="488">
        <f>-'[13]TRIAL BALANCE @ 10-26-04'!F133</f>
        <v>20329.18</v>
      </c>
      <c r="E24" s="488"/>
    </row>
    <row r="25" spans="1:5" ht="15" customHeight="1">
      <c r="A25" s="843" t="s">
        <v>79</v>
      </c>
      <c r="B25" s="479"/>
      <c r="C25" s="480"/>
      <c r="D25" s="487">
        <f>-'[13]TRIAL BALANCE @ 10-26-04'!F131</f>
        <v>5562.03</v>
      </c>
      <c r="E25" s="480"/>
    </row>
    <row r="26" spans="1:5" ht="15" customHeight="1">
      <c r="A26" s="843"/>
      <c r="B26" s="359"/>
      <c r="C26" s="479"/>
      <c r="D26" s="479"/>
      <c r="E26" s="488"/>
    </row>
    <row r="27" spans="1:5" ht="15" customHeight="1">
      <c r="A27" s="840" t="s">
        <v>265</v>
      </c>
      <c r="B27" s="479"/>
      <c r="C27" s="479"/>
      <c r="D27" s="479"/>
      <c r="E27" s="489">
        <f>SUM(D19:D26)-1</f>
        <v>3163924.74</v>
      </c>
    </row>
    <row r="28" spans="1:5" ht="15" customHeight="1">
      <c r="A28" s="841"/>
      <c r="B28" s="479"/>
      <c r="C28" s="479"/>
      <c r="D28" s="479"/>
      <c r="E28" s="479"/>
    </row>
    <row r="29" spans="1:5" ht="15" customHeight="1">
      <c r="A29" s="842" t="s">
        <v>266</v>
      </c>
      <c r="B29" s="479"/>
      <c r="C29" s="479"/>
      <c r="D29" s="479"/>
      <c r="E29" s="479"/>
    </row>
    <row r="30" spans="1:5" ht="15" customHeight="1">
      <c r="A30" s="843" t="s">
        <v>267</v>
      </c>
      <c r="B30" s="479"/>
      <c r="C30" s="480"/>
      <c r="D30" s="488">
        <f>'Equity YTD-4'!G39</f>
        <v>12039591</v>
      </c>
      <c r="E30" s="479"/>
    </row>
    <row r="31" spans="1:5" ht="15" customHeight="1">
      <c r="A31" s="843" t="s">
        <v>69</v>
      </c>
      <c r="B31" s="479"/>
      <c r="C31" s="480"/>
      <c r="D31" s="488">
        <f>'Losses Incurred YTD-10'!G19</f>
        <v>4465611.14</v>
      </c>
      <c r="E31" s="479"/>
    </row>
    <row r="32" spans="1:5" ht="15" customHeight="1">
      <c r="A32" s="843" t="s">
        <v>68</v>
      </c>
      <c r="B32" s="479"/>
      <c r="C32" s="480"/>
      <c r="D32" s="488">
        <f>'Losses Incurred YTD-10'!G25</f>
        <v>1920898.7799999998</v>
      </c>
      <c r="E32" s="488"/>
    </row>
    <row r="33" spans="1:5" ht="15" customHeight="1">
      <c r="A33" s="843" t="s">
        <v>73</v>
      </c>
      <c r="B33" s="479"/>
      <c r="C33" s="480"/>
      <c r="D33" s="488">
        <f>-'[13]TRIAL BALANCE @ 10-26-04'!F104</f>
        <v>493042.66000000003</v>
      </c>
      <c r="E33" s="479"/>
    </row>
    <row r="34" spans="1:5" ht="15" customHeight="1">
      <c r="A34" s="843" t="s">
        <v>74</v>
      </c>
      <c r="B34" s="480"/>
      <c r="C34" s="480"/>
      <c r="D34" s="488">
        <f>-'[13]TRIAL BALANCE @ 10-26-04'!F123</f>
        <v>187052.85</v>
      </c>
      <c r="E34" s="488"/>
    </row>
    <row r="35" spans="1:5" ht="15" customHeight="1">
      <c r="A35" s="843" t="s">
        <v>103</v>
      </c>
      <c r="B35" s="479"/>
      <c r="C35" s="480"/>
      <c r="D35" s="122">
        <f>'Equity YTD-4'!G42</f>
        <v>321210.28</v>
      </c>
      <c r="E35" s="479"/>
    </row>
    <row r="36" spans="1:5" ht="15" customHeight="1">
      <c r="A36" s="843" t="s">
        <v>97</v>
      </c>
      <c r="B36" s="479"/>
      <c r="C36" s="479"/>
      <c r="D36" s="487">
        <f>'Equity YTD-4'!G43</f>
        <v>41432.32</v>
      </c>
      <c r="E36" s="479"/>
    </row>
    <row r="37" spans="1:5" ht="15" customHeight="1">
      <c r="A37" s="843"/>
      <c r="B37" s="479"/>
      <c r="C37" s="479"/>
      <c r="D37" s="479"/>
      <c r="E37" s="479"/>
    </row>
    <row r="38" spans="1:5" ht="15" customHeight="1">
      <c r="A38" s="844" t="s">
        <v>384</v>
      </c>
      <c r="B38" s="479"/>
      <c r="C38" s="479"/>
      <c r="D38" s="480"/>
      <c r="E38" s="489">
        <f>SUM(D30:D36)</f>
        <v>19468839.030000005</v>
      </c>
    </row>
    <row r="39" spans="1:5" ht="15" customHeight="1">
      <c r="A39" s="844"/>
      <c r="B39" s="479"/>
      <c r="C39" s="479"/>
      <c r="D39" s="480"/>
      <c r="E39" s="482"/>
    </row>
    <row r="40" spans="1:5" ht="15" customHeight="1">
      <c r="A40" s="840" t="s">
        <v>269</v>
      </c>
      <c r="B40" s="479"/>
      <c r="C40" s="479"/>
      <c r="D40" s="480"/>
      <c r="E40" s="490">
        <f>E38+E27</f>
        <v>22632763.770000003</v>
      </c>
    </row>
    <row r="41" spans="1:5" ht="15" customHeight="1">
      <c r="A41" s="841"/>
      <c r="B41" s="479"/>
      <c r="C41" s="479"/>
      <c r="D41" s="480"/>
      <c r="E41" s="479"/>
    </row>
    <row r="42" spans="1:5" ht="15" customHeight="1">
      <c r="A42" s="842" t="s">
        <v>270</v>
      </c>
      <c r="B42" s="479"/>
      <c r="C42" s="479"/>
      <c r="D42" s="480"/>
      <c r="E42" s="479"/>
    </row>
    <row r="43" spans="1:7" ht="15" customHeight="1">
      <c r="A43" s="843" t="s">
        <v>482</v>
      </c>
      <c r="B43" s="479"/>
      <c r="C43" s="479"/>
      <c r="D43" s="480"/>
      <c r="E43" s="489">
        <f>+E15-E40</f>
        <v>-10398353.220000004</v>
      </c>
      <c r="F43" s="845"/>
      <c r="G43" s="846"/>
    </row>
    <row r="44" spans="1:5" ht="15" customHeight="1">
      <c r="A44" s="841"/>
      <c r="B44" s="480"/>
      <c r="C44" s="480"/>
      <c r="D44" s="480"/>
      <c r="E44" s="479"/>
    </row>
    <row r="45" spans="1:5" ht="15" customHeight="1" thickBot="1">
      <c r="A45" s="844" t="s">
        <v>271</v>
      </c>
      <c r="B45" s="479"/>
      <c r="C45" s="479"/>
      <c r="D45" s="479"/>
      <c r="E45" s="483">
        <f>E40+E43</f>
        <v>12234410.549999999</v>
      </c>
    </row>
    <row r="46" spans="1:5" ht="15" customHeight="1" thickTop="1">
      <c r="A46" s="15"/>
      <c r="B46" s="475"/>
      <c r="C46" s="475"/>
      <c r="D46" s="475"/>
      <c r="E46" s="475"/>
    </row>
    <row r="47" spans="1:5" ht="15" customHeight="1">
      <c r="A47" s="15"/>
      <c r="E47" s="475"/>
    </row>
    <row r="58" spans="1:5" ht="15" customHeight="1">
      <c r="A58" s="834"/>
      <c r="E58" s="835"/>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F35"/>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7" t="s">
        <v>254</v>
      </c>
      <c r="B1" s="967"/>
      <c r="C1" s="967"/>
      <c r="D1" s="967"/>
      <c r="E1" s="967"/>
    </row>
    <row r="2" spans="1:3" s="20" customFormat="1" ht="15" customHeight="1">
      <c r="A2" s="946"/>
      <c r="B2" s="946"/>
      <c r="C2" s="946"/>
    </row>
    <row r="3" spans="1:5" s="21" customFormat="1" ht="15" customHeight="1">
      <c r="A3" s="970" t="s">
        <v>272</v>
      </c>
      <c r="B3" s="970"/>
      <c r="C3" s="970"/>
      <c r="D3" s="970"/>
      <c r="E3" s="970"/>
    </row>
    <row r="4" spans="1:5" s="21" customFormat="1" ht="15" customHeight="1">
      <c r="A4" s="970" t="str">
        <f>+'Balance Sheet-1'!A4</f>
        <v>AT SEPTEMBER 30, 2004</v>
      </c>
      <c r="B4" s="970"/>
      <c r="C4" s="970"/>
      <c r="D4" s="970"/>
      <c r="E4" s="970"/>
    </row>
    <row r="5" spans="1:3" s="21" customFormat="1" ht="15" customHeight="1">
      <c r="A5" s="380"/>
      <c r="B5" s="381"/>
      <c r="C5" s="381"/>
    </row>
    <row r="6" spans="1:5" ht="15" customHeight="1">
      <c r="A6" s="371"/>
      <c r="B6" s="847" t="s">
        <v>206</v>
      </c>
      <c r="C6" s="848"/>
      <c r="D6" s="847" t="s">
        <v>18</v>
      </c>
      <c r="E6" s="848"/>
    </row>
    <row r="7" spans="1:5" ht="15" customHeight="1">
      <c r="A7" s="371"/>
      <c r="B7" s="849"/>
      <c r="C7" s="850"/>
      <c r="D7" s="849"/>
      <c r="E7" s="850"/>
    </row>
    <row r="8" spans="1:5" ht="15" customHeight="1">
      <c r="A8" s="851" t="s">
        <v>274</v>
      </c>
      <c r="B8" s="849"/>
      <c r="C8" s="852"/>
      <c r="D8" s="849"/>
      <c r="E8" s="852"/>
    </row>
    <row r="9" spans="1:5" ht="15" customHeight="1">
      <c r="A9" s="851"/>
      <c r="B9" s="849"/>
      <c r="C9" s="852"/>
      <c r="D9" s="849"/>
      <c r="E9" s="852"/>
    </row>
    <row r="10" spans="1:5" ht="15" customHeight="1">
      <c r="A10" s="371" t="s">
        <v>275</v>
      </c>
      <c r="B10" s="382"/>
      <c r="C10" s="574">
        <f>'Earned Incurred QTD-5'!D16</f>
        <v>5835778</v>
      </c>
      <c r="D10" s="382"/>
      <c r="E10" s="574">
        <f>'Earned Incurred YTD-6'!D16</f>
        <v>16819255</v>
      </c>
    </row>
    <row r="11" spans="1:5" ht="15" customHeight="1">
      <c r="A11" s="851"/>
      <c r="B11" s="382"/>
      <c r="C11" s="853"/>
      <c r="D11" s="382"/>
      <c r="E11" s="853"/>
    </row>
    <row r="12" spans="1:5" ht="15" customHeight="1">
      <c r="A12" s="851" t="s">
        <v>276</v>
      </c>
      <c r="B12" s="382"/>
      <c r="C12" s="853"/>
      <c r="D12" s="382"/>
      <c r="E12" s="853"/>
    </row>
    <row r="13" spans="1:5" ht="15" customHeight="1">
      <c r="A13" s="371" t="s">
        <v>277</v>
      </c>
      <c r="B13" s="127">
        <f>'Earned Incurred QTD-5'!D23</f>
        <v>2653605.59</v>
      </c>
      <c r="C13" s="853"/>
      <c r="D13" s="127">
        <f>'Earned Incurred YTD-6'!D23</f>
        <v>9268919.16</v>
      </c>
      <c r="E13" s="853"/>
    </row>
    <row r="14" spans="1:5" ht="15" customHeight="1">
      <c r="A14" s="371" t="s">
        <v>278</v>
      </c>
      <c r="B14" s="127">
        <f>'Earned Incurred QTD-5'!D30</f>
        <v>438857.2100000002</v>
      </c>
      <c r="C14" s="853"/>
      <c r="D14" s="127">
        <f>'Earned Incurred YTD-6'!D30</f>
        <v>1208951.61</v>
      </c>
      <c r="E14" s="853"/>
    </row>
    <row r="15" spans="1:5" ht="15" customHeight="1">
      <c r="A15" s="371" t="s">
        <v>279</v>
      </c>
      <c r="B15" s="127">
        <f>'Earned Incurred QTD-5'!C37</f>
        <v>558150.7999999999</v>
      </c>
      <c r="C15" s="853"/>
      <c r="D15" s="127">
        <f>'Earned Incurred YTD-6'!C37</f>
        <v>1632088.8</v>
      </c>
      <c r="E15" s="853"/>
    </row>
    <row r="16" spans="1:6" ht="15" customHeight="1">
      <c r="A16" s="371" t="s">
        <v>280</v>
      </c>
      <c r="B16" s="127">
        <f>'Earned Incurred QTD-5'!C39+'Earned Incurred QTD-5'!C38+'Earned Incurred QTD-5'!C43+1</f>
        <v>1109334.4600000002</v>
      </c>
      <c r="C16" s="853"/>
      <c r="D16" s="127">
        <f>'Earned Incurred YTD-6'!C38+'Earned Incurred YTD-6'!C39+'Earned Incurred YTD-6'!C43+1</f>
        <v>3274222.3400000003</v>
      </c>
      <c r="E16" s="853"/>
      <c r="F16" s="114"/>
    </row>
    <row r="17" spans="1:5" ht="15" customHeight="1">
      <c r="A17" s="371" t="s">
        <v>99</v>
      </c>
      <c r="B17" s="145">
        <f>'Earned Incurred QTD-5'!D36</f>
        <v>23002.66</v>
      </c>
      <c r="C17" s="853"/>
      <c r="D17" s="145">
        <f>'Earned Incurred YTD-6'!D36</f>
        <v>66620.25</v>
      </c>
      <c r="E17" s="853"/>
    </row>
    <row r="18" spans="1:5" ht="15" customHeight="1">
      <c r="A18" s="371" t="s">
        <v>466</v>
      </c>
      <c r="B18" s="382"/>
      <c r="C18" s="491">
        <f>SUM(B13:B17)</f>
        <v>4782950.72</v>
      </c>
      <c r="D18" s="382"/>
      <c r="E18" s="491">
        <f>SUM(D13:D17)</f>
        <v>15450802.16</v>
      </c>
    </row>
    <row r="19" spans="1:5" ht="15" customHeight="1">
      <c r="A19" s="371"/>
      <c r="B19" s="382"/>
      <c r="C19" s="492"/>
      <c r="D19" s="382"/>
      <c r="E19" s="492"/>
    </row>
    <row r="20" spans="1:5" ht="15" customHeight="1">
      <c r="A20" s="371" t="s">
        <v>470</v>
      </c>
      <c r="B20" s="382"/>
      <c r="C20" s="492">
        <f>C10-C18</f>
        <v>1052827.2800000003</v>
      </c>
      <c r="D20" s="382"/>
      <c r="E20" s="492">
        <f>E10-E18</f>
        <v>1368452.8399999999</v>
      </c>
    </row>
    <row r="21" spans="1:5" ht="15" customHeight="1">
      <c r="A21" s="851"/>
      <c r="B21" s="382"/>
      <c r="C21" s="492"/>
      <c r="D21" s="382"/>
      <c r="E21" s="492"/>
    </row>
    <row r="22" spans="1:5" ht="15" customHeight="1">
      <c r="A22" s="851" t="s">
        <v>282</v>
      </c>
      <c r="B22" s="382"/>
      <c r="C22" s="492"/>
      <c r="D22" s="382"/>
      <c r="E22" s="492"/>
    </row>
    <row r="23" spans="1:5" ht="15" customHeight="1">
      <c r="A23" s="371" t="s">
        <v>44</v>
      </c>
      <c r="B23" s="382"/>
      <c r="C23" s="491">
        <f>'Earned Incurred QTD-5'!D52</f>
        <v>50132.5</v>
      </c>
      <c r="D23" s="382"/>
      <c r="E23" s="491">
        <f>'Earned Incurred YTD-6'!D52</f>
        <v>113176.67999999996</v>
      </c>
    </row>
    <row r="24" spans="1:5" ht="15" customHeight="1">
      <c r="A24" s="371"/>
      <c r="B24" s="382"/>
      <c r="C24" s="492"/>
      <c r="D24" s="382"/>
      <c r="E24" s="492"/>
    </row>
    <row r="25" spans="1:5" ht="15" customHeight="1" thickBot="1">
      <c r="A25" s="371" t="s">
        <v>471</v>
      </c>
      <c r="B25" s="382"/>
      <c r="C25" s="493">
        <f>C20+C23</f>
        <v>1102959.7800000003</v>
      </c>
      <c r="D25" s="382"/>
      <c r="E25" s="493">
        <f>E20+E23</f>
        <v>1481629.5199999998</v>
      </c>
    </row>
    <row r="26" spans="1:5" ht="15" customHeight="1">
      <c r="A26" s="851"/>
      <c r="B26" s="382"/>
      <c r="C26" s="659"/>
      <c r="D26" s="382"/>
      <c r="E26" s="659"/>
    </row>
    <row r="27" spans="1:5" ht="15" customHeight="1">
      <c r="A27" s="851" t="s">
        <v>270</v>
      </c>
      <c r="B27" s="382"/>
      <c r="C27" s="492"/>
      <c r="D27" s="382"/>
      <c r="E27" s="492"/>
    </row>
    <row r="28" spans="1:5" ht="15" customHeight="1">
      <c r="A28" s="371" t="s">
        <v>43</v>
      </c>
      <c r="B28" s="382"/>
      <c r="C28" s="492">
        <v>-11516337.91</v>
      </c>
      <c r="D28" s="382"/>
      <c r="E28" s="492">
        <v>-11925058.37</v>
      </c>
    </row>
    <row r="29" spans="1:5" ht="15" customHeight="1">
      <c r="A29" s="371" t="s">
        <v>472</v>
      </c>
      <c r="B29" s="127">
        <f>C25</f>
        <v>1102959.7800000003</v>
      </c>
      <c r="C29" s="492"/>
      <c r="D29" s="127">
        <f>E25</f>
        <v>1481629.5199999998</v>
      </c>
      <c r="E29" s="492"/>
    </row>
    <row r="30" spans="1:5" ht="15" customHeight="1">
      <c r="A30" s="371" t="s">
        <v>285</v>
      </c>
      <c r="B30" s="145">
        <v>15025</v>
      </c>
      <c r="C30" s="492"/>
      <c r="D30" s="145">
        <f>45075</f>
        <v>45075</v>
      </c>
      <c r="E30" s="492"/>
    </row>
    <row r="31" spans="1:5" ht="15" customHeight="1">
      <c r="A31" s="371" t="s">
        <v>286</v>
      </c>
      <c r="B31" s="382"/>
      <c r="C31" s="492">
        <f>SUM(B29:B31)</f>
        <v>1117984.7800000003</v>
      </c>
      <c r="D31" s="382"/>
      <c r="E31" s="492">
        <f>SUM(D29:D31)</f>
        <v>1526704.5199999998</v>
      </c>
    </row>
    <row r="32" spans="1:5" ht="15" customHeight="1">
      <c r="A32" s="371"/>
      <c r="C32" s="854"/>
      <c r="D32" s="127"/>
      <c r="E32" s="854"/>
    </row>
    <row r="33" spans="1:5" ht="15" customHeight="1" thickBot="1">
      <c r="A33" s="855" t="s">
        <v>483</v>
      </c>
      <c r="B33" s="382"/>
      <c r="C33" s="570">
        <f>C28+C31</f>
        <v>-10398353.129999999</v>
      </c>
      <c r="D33" s="382"/>
      <c r="E33" s="570">
        <f>E28+E31+1</f>
        <v>-10398352.85</v>
      </c>
    </row>
    <row r="34" spans="2:5" s="14" customFormat="1" ht="15" customHeight="1" thickTop="1">
      <c r="B34" s="256"/>
      <c r="C34" s="256"/>
      <c r="D34" s="376"/>
      <c r="E34" s="256"/>
    </row>
    <row r="35" spans="3:5" ht="15" customHeight="1">
      <c r="C35" s="349"/>
      <c r="E35" s="349"/>
    </row>
    <row r="38"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I85"/>
  <sheetViews>
    <sheetView zoomScale="75" zoomScaleNormal="75" workbookViewId="0" topLeftCell="A1">
      <selection activeCell="G7" sqref="G7"/>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1" t="s">
        <v>254</v>
      </c>
      <c r="B1" s="971"/>
      <c r="C1" s="971"/>
      <c r="D1" s="971"/>
      <c r="E1" s="971"/>
      <c r="F1" s="971"/>
      <c r="G1" s="971"/>
    </row>
    <row r="2" spans="1:7" s="27" customFormat="1" ht="15" customHeight="1">
      <c r="A2" s="972"/>
      <c r="B2" s="972"/>
      <c r="C2" s="972"/>
      <c r="D2" s="972"/>
      <c r="E2" s="972"/>
      <c r="F2" s="972"/>
      <c r="G2" s="972"/>
    </row>
    <row r="3" spans="1:7" s="856" customFormat="1" ht="15" customHeight="1">
      <c r="A3" s="973" t="s">
        <v>287</v>
      </c>
      <c r="B3" s="973"/>
      <c r="C3" s="973"/>
      <c r="D3" s="973"/>
      <c r="E3" s="973"/>
      <c r="F3" s="973"/>
      <c r="G3" s="973"/>
    </row>
    <row r="4" spans="1:7" s="856" customFormat="1" ht="15" customHeight="1">
      <c r="A4" s="973" t="s">
        <v>484</v>
      </c>
      <c r="B4" s="973"/>
      <c r="C4" s="973"/>
      <c r="D4" s="973"/>
      <c r="E4" s="973"/>
      <c r="F4" s="973"/>
      <c r="G4" s="973"/>
    </row>
    <row r="5" spans="1:7" s="29" customFormat="1" ht="15" customHeight="1">
      <c r="A5" s="383"/>
      <c r="B5" s="827"/>
      <c r="C5" s="827"/>
      <c r="D5" s="828"/>
      <c r="E5" s="829"/>
      <c r="F5" s="829"/>
      <c r="G5" s="830"/>
    </row>
    <row r="6" spans="1:7" s="858" customFormat="1" ht="30" customHeight="1">
      <c r="A6" s="857"/>
      <c r="B6" s="831" t="s">
        <v>194</v>
      </c>
      <c r="C6" s="831" t="s">
        <v>42</v>
      </c>
      <c r="D6" s="831" t="s">
        <v>46</v>
      </c>
      <c r="E6" s="831" t="s">
        <v>143</v>
      </c>
      <c r="F6" s="831" t="s">
        <v>213</v>
      </c>
      <c r="G6" s="831" t="s">
        <v>255</v>
      </c>
    </row>
    <row r="7" spans="1:7" s="864" customFormat="1" ht="15" customHeight="1">
      <c r="A7" s="859" t="s">
        <v>289</v>
      </c>
      <c r="B7" s="860"/>
      <c r="C7" s="860"/>
      <c r="D7" s="861"/>
      <c r="E7" s="862"/>
      <c r="F7" s="862"/>
      <c r="G7" s="863"/>
    </row>
    <row r="8" spans="1:7" s="868" customFormat="1" ht="15" customHeight="1">
      <c r="A8" s="865" t="s">
        <v>290</v>
      </c>
      <c r="B8" s="866">
        <f>'Premiums QTD-7'!B11</f>
        <v>6240594</v>
      </c>
      <c r="C8" s="866">
        <f>'Premiums QTD-7'!C11</f>
        <v>-64967</v>
      </c>
      <c r="D8" s="866">
        <f>'Premiums QTD-7'!D11</f>
        <v>-708</v>
      </c>
      <c r="E8" s="866">
        <f>'Premiums QTD-7'!E11</f>
        <v>-250</v>
      </c>
      <c r="F8" s="866">
        <f>'Premiums QTD-7'!F11</f>
        <v>-477</v>
      </c>
      <c r="G8" s="866">
        <f>SUM(B8:F8)</f>
        <v>6174192</v>
      </c>
    </row>
    <row r="9" spans="1:7" s="868" customFormat="1" ht="15" customHeight="1">
      <c r="A9" s="865" t="s">
        <v>291</v>
      </c>
      <c r="B9" s="867">
        <f>'Earned Incurred QTD-5'!C48</f>
        <v>25191.17</v>
      </c>
      <c r="C9" s="867">
        <v>0</v>
      </c>
      <c r="D9" s="867">
        <v>0</v>
      </c>
      <c r="E9" s="867">
        <v>0</v>
      </c>
      <c r="F9" s="867">
        <v>0</v>
      </c>
      <c r="G9" s="867">
        <f>SUM(B9:F9)</f>
        <v>25191.17</v>
      </c>
    </row>
    <row r="10" spans="1:7" s="868" customFormat="1" ht="15" customHeight="1" thickBot="1">
      <c r="A10" s="869" t="s">
        <v>292</v>
      </c>
      <c r="B10" s="870">
        <f aca="true" t="shared" si="0" ref="B10:G10">SUM(B8:B9)</f>
        <v>6265785.17</v>
      </c>
      <c r="C10" s="870">
        <f t="shared" si="0"/>
        <v>-64967</v>
      </c>
      <c r="D10" s="870">
        <f t="shared" si="0"/>
        <v>-708</v>
      </c>
      <c r="E10" s="871">
        <f t="shared" si="0"/>
        <v>-250</v>
      </c>
      <c r="F10" s="871">
        <f t="shared" si="0"/>
        <v>-477</v>
      </c>
      <c r="G10" s="872">
        <f t="shared" si="0"/>
        <v>6199383.17</v>
      </c>
    </row>
    <row r="11" spans="1:7" s="868" customFormat="1" ht="15" customHeight="1" thickTop="1">
      <c r="A11" s="869"/>
      <c r="B11" s="873"/>
      <c r="C11" s="873"/>
      <c r="D11" s="873"/>
      <c r="E11" s="867"/>
      <c r="F11" s="867"/>
      <c r="G11" s="867"/>
    </row>
    <row r="12" spans="1:7" s="868" customFormat="1" ht="15" customHeight="1">
      <c r="A12" s="859" t="s">
        <v>293</v>
      </c>
      <c r="B12" s="861"/>
      <c r="C12" s="861"/>
      <c r="D12" s="861"/>
      <c r="E12" s="874"/>
      <c r="F12" s="874"/>
      <c r="G12" s="867"/>
    </row>
    <row r="13" spans="1:7" s="868" customFormat="1" ht="15" customHeight="1">
      <c r="A13" s="869" t="s">
        <v>294</v>
      </c>
      <c r="B13" s="867">
        <f>'Losses Incurred QTD-9'!B13</f>
        <v>738127.26</v>
      </c>
      <c r="C13" s="867">
        <f>'Losses Incurred QTD-9'!C13</f>
        <v>2012287.35</v>
      </c>
      <c r="D13" s="867">
        <f>'Losses Incurred QTD-9'!D13</f>
        <v>225323.48</v>
      </c>
      <c r="E13" s="867">
        <f>'Losses Incurred QTD-9'!E13</f>
        <v>5752.89</v>
      </c>
      <c r="F13" s="867">
        <f>'Losses Incurred QTD-9'!F13</f>
        <v>25052.54</v>
      </c>
      <c r="G13" s="867">
        <f>SUM(B13:F13)-1</f>
        <v>3006542.5200000005</v>
      </c>
    </row>
    <row r="14" spans="1:7" s="868" customFormat="1" ht="15" customHeight="1">
      <c r="A14" s="869" t="s">
        <v>295</v>
      </c>
      <c r="B14" s="867">
        <f>'[13]TRIAL BALANCE @ 10-26-04'!D356</f>
        <v>94617.98</v>
      </c>
      <c r="C14" s="867">
        <f>'[13]TRIAL BALANCE @ 10-26-04'!D353</f>
        <v>145776.11</v>
      </c>
      <c r="D14" s="867">
        <f>'[13]TRIAL BALANCE @ 10-26-04'!D349</f>
        <v>13328.73</v>
      </c>
      <c r="E14" s="867">
        <f>'[13]TRIAL BALANCE @ 10-26-04'!D346</f>
        <v>123.5</v>
      </c>
      <c r="F14" s="867">
        <f>'[13]TRIAL BALANCE @ 10-26-04'!D343</f>
        <v>6630.17</v>
      </c>
      <c r="G14" s="867">
        <f aca="true" t="shared" si="1" ref="G14:G21">SUM(B14:F14)</f>
        <v>260476.49</v>
      </c>
    </row>
    <row r="15" spans="1:8" s="868" customFormat="1" ht="15" customHeight="1">
      <c r="A15" s="869" t="s">
        <v>296</v>
      </c>
      <c r="B15" s="867">
        <f>'[13]TRIAL BALANCE @ 10-26-04'!D373</f>
        <v>32626.620000000003</v>
      </c>
      <c r="C15" s="867">
        <f>'[13]TRIAL BALANCE @ 10-26-04'!D370</f>
        <v>89793.94</v>
      </c>
      <c r="D15" s="867">
        <f>'[13]TRIAL BALANCE @ 10-26-04'!D366</f>
        <v>9959.74</v>
      </c>
      <c r="E15" s="867">
        <f>'[13]TRIAL BALANCE @ 10-26-04'!D363</f>
        <v>254.29</v>
      </c>
      <c r="F15" s="867">
        <f>'[13]TRIAL BALANCE @ 10-26-04'!D360</f>
        <v>1108.19</v>
      </c>
      <c r="G15" s="867">
        <f>SUM(B15:F15)+1</f>
        <v>133743.78</v>
      </c>
      <c r="H15" s="876"/>
    </row>
    <row r="16" spans="1:7" s="868" customFormat="1" ht="15" customHeight="1">
      <c r="A16" s="869" t="s">
        <v>297</v>
      </c>
      <c r="B16" s="867">
        <f>'[13]TRIAL BALANCE @ 10-26-04'!D497</f>
        <v>6705.43</v>
      </c>
      <c r="C16" s="867">
        <v>0</v>
      </c>
      <c r="D16" s="867">
        <v>0</v>
      </c>
      <c r="E16" s="867">
        <v>0</v>
      </c>
      <c r="F16" s="867">
        <v>0</v>
      </c>
      <c r="G16" s="867">
        <f t="shared" si="1"/>
        <v>6705.43</v>
      </c>
    </row>
    <row r="17" spans="1:7" s="868" customFormat="1" ht="15" customHeight="1">
      <c r="A17" s="875" t="s">
        <v>298</v>
      </c>
      <c r="B17" s="867">
        <f>'[13]TRIAL BALANCE @ 10-26-04'!D507</f>
        <v>67675</v>
      </c>
      <c r="C17" s="867">
        <v>0</v>
      </c>
      <c r="D17" s="867">
        <v>0</v>
      </c>
      <c r="E17" s="867">
        <v>0</v>
      </c>
      <c r="F17" s="867">
        <v>0</v>
      </c>
      <c r="G17" s="867">
        <f t="shared" si="1"/>
        <v>67675</v>
      </c>
    </row>
    <row r="18" spans="1:8" s="868" customFormat="1" ht="15" customHeight="1">
      <c r="A18" s="869" t="s">
        <v>300</v>
      </c>
      <c r="B18" s="867">
        <f>'[13]TRIAL BALANCE @ 10-26-04'!D499</f>
        <v>3093.75</v>
      </c>
      <c r="C18" s="867">
        <v>0</v>
      </c>
      <c r="D18" s="867">
        <v>0</v>
      </c>
      <c r="E18" s="867">
        <v>0</v>
      </c>
      <c r="F18" s="867">
        <v>0</v>
      </c>
      <c r="G18" s="867">
        <f t="shared" si="1"/>
        <v>3093.75</v>
      </c>
      <c r="H18" s="876"/>
    </row>
    <row r="19" spans="1:7" s="868" customFormat="1" ht="15" customHeight="1">
      <c r="A19" s="875" t="s">
        <v>299</v>
      </c>
      <c r="B19" s="867">
        <f>'[13]TRIAL BALANCE @ 10-26-04'!D477+'[13]TRIAL BALANCE @ 10-26-04'!D490</f>
        <v>564152</v>
      </c>
      <c r="C19" s="867">
        <f>'[13]TRIAL BALANCE @ 10-26-04'!D473+'[13]TRIAL BALANCE @ 10-26-04'!D486</f>
        <v>-5857.7</v>
      </c>
      <c r="D19" s="867">
        <f>'[13]TRIAL BALANCE @ 10-26-04'!D469+'[13]TRIAL BALANCE @ 10-26-04'!D482</f>
        <v>-70.8</v>
      </c>
      <c r="E19" s="867">
        <f>'[13]TRIAL BALANCE @ 10-26-04'!D465</f>
        <v>-25</v>
      </c>
      <c r="F19" s="867">
        <f>'[13]TRIAL BALANCE @ 10-26-04'!D458+'[13]TRIAL BALANCE @ 10-26-04'!D462</f>
        <v>-47.7</v>
      </c>
      <c r="G19" s="867">
        <f t="shared" si="1"/>
        <v>558150.8</v>
      </c>
    </row>
    <row r="20" spans="1:7" s="868" customFormat="1" ht="15" customHeight="1">
      <c r="A20" s="869" t="s">
        <v>301</v>
      </c>
      <c r="B20" s="867">
        <f>'Earned Incurred QTD-5'!C39</f>
        <v>1058510.5800000003</v>
      </c>
      <c r="C20" s="867">
        <v>0</v>
      </c>
      <c r="D20" s="867">
        <v>0</v>
      </c>
      <c r="E20" s="867">
        <v>0</v>
      </c>
      <c r="F20" s="867">
        <v>0</v>
      </c>
      <c r="G20" s="867">
        <f t="shared" si="1"/>
        <v>1058510.5800000003</v>
      </c>
    </row>
    <row r="21" spans="1:9" s="868" customFormat="1" ht="15" customHeight="1">
      <c r="A21" s="869" t="s">
        <v>97</v>
      </c>
      <c r="B21" s="867">
        <v>0</v>
      </c>
      <c r="C21" s="867">
        <v>900</v>
      </c>
      <c r="D21" s="867">
        <v>0</v>
      </c>
      <c r="E21" s="867">
        <v>0</v>
      </c>
      <c r="F21" s="867">
        <v>0</v>
      </c>
      <c r="G21" s="867">
        <f t="shared" si="1"/>
        <v>900</v>
      </c>
      <c r="H21" s="876"/>
      <c r="I21" s="876"/>
    </row>
    <row r="22" spans="1:7" s="868" customFormat="1" ht="15" customHeight="1" thickBot="1">
      <c r="A22" s="869" t="s">
        <v>292</v>
      </c>
      <c r="B22" s="870">
        <f>SUM(B13:B21)</f>
        <v>2565508.62</v>
      </c>
      <c r="C22" s="870">
        <f>SUM(C13:C21)-1</f>
        <v>2242898.6999999997</v>
      </c>
      <c r="D22" s="870">
        <f>SUM(D13:D21)</f>
        <v>248541.15000000002</v>
      </c>
      <c r="E22" s="870">
        <f>SUM(E13:E21)</f>
        <v>6105.68</v>
      </c>
      <c r="F22" s="870">
        <f>SUM(F13:F21)</f>
        <v>32743.2</v>
      </c>
      <c r="G22" s="872">
        <f>SUM(G13:G21)+1</f>
        <v>5095799.350000001</v>
      </c>
    </row>
    <row r="23" spans="1:7" s="868" customFormat="1" ht="15" customHeight="1" thickTop="1">
      <c r="A23" s="869"/>
      <c r="B23" s="873"/>
      <c r="C23" s="873"/>
      <c r="D23" s="873"/>
      <c r="E23" s="867"/>
      <c r="F23" s="867"/>
      <c r="G23" s="867"/>
    </row>
    <row r="24" spans="1:7" s="868" customFormat="1" ht="15" customHeight="1" thickBot="1">
      <c r="A24" s="877" t="s">
        <v>302</v>
      </c>
      <c r="B24" s="878">
        <f>B10-B22-1</f>
        <v>3700275.55</v>
      </c>
      <c r="C24" s="878">
        <f>C10-C22</f>
        <v>-2307865.6999999997</v>
      </c>
      <c r="D24" s="878">
        <f>D10-D22</f>
        <v>-249249.15000000002</v>
      </c>
      <c r="E24" s="878">
        <f>E10-E22</f>
        <v>-6355.68</v>
      </c>
      <c r="F24" s="878">
        <f>F10-F22</f>
        <v>-33220.2</v>
      </c>
      <c r="G24" s="872">
        <f>SUM(B24:F24)-1</f>
        <v>1103583.8200000003</v>
      </c>
    </row>
    <row r="25" spans="1:7" s="868" customFormat="1" ht="15" customHeight="1" thickTop="1">
      <c r="A25" s="869"/>
      <c r="B25" s="873"/>
      <c r="C25" s="873"/>
      <c r="D25" s="873"/>
      <c r="E25" s="867"/>
      <c r="F25" s="867"/>
      <c r="G25" s="867"/>
    </row>
    <row r="26" spans="1:7" s="868" customFormat="1" ht="15" customHeight="1">
      <c r="A26" s="859" t="s">
        <v>303</v>
      </c>
      <c r="B26" s="861"/>
      <c r="C26" s="861"/>
      <c r="D26" s="861"/>
      <c r="E26" s="874"/>
      <c r="F26" s="874"/>
      <c r="G26" s="867"/>
    </row>
    <row r="27" spans="1:7" s="868" customFormat="1" ht="15" customHeight="1">
      <c r="A27" s="869" t="s">
        <v>304</v>
      </c>
      <c r="B27" s="867">
        <f>'Earned Incurred QTD-5'!B50</f>
        <v>13121.08</v>
      </c>
      <c r="C27" s="867">
        <v>0</v>
      </c>
      <c r="D27" s="867">
        <v>0</v>
      </c>
      <c r="E27" s="867">
        <v>0</v>
      </c>
      <c r="F27" s="867">
        <v>0</v>
      </c>
      <c r="G27" s="867">
        <f>SUM(B27:F27)</f>
        <v>13121.08</v>
      </c>
    </row>
    <row r="28" spans="1:7" s="868" customFormat="1" ht="15" customHeight="1">
      <c r="A28" s="869" t="s">
        <v>305</v>
      </c>
      <c r="B28" s="867">
        <f>'Equity YTD-4'!B28</f>
        <v>189837.39</v>
      </c>
      <c r="C28" s="867">
        <v>0</v>
      </c>
      <c r="D28" s="867">
        <v>0</v>
      </c>
      <c r="E28" s="867">
        <v>0</v>
      </c>
      <c r="F28" s="867">
        <v>0</v>
      </c>
      <c r="G28" s="867">
        <f>SUM(B28:F28)</f>
        <v>189837.39</v>
      </c>
    </row>
    <row r="29" spans="1:7" s="868" customFormat="1" ht="15" customHeight="1" thickBot="1">
      <c r="A29" s="869" t="s">
        <v>292</v>
      </c>
      <c r="B29" s="871">
        <f aca="true" t="shared" si="2" ref="B29:G29">SUM(B27:B28)</f>
        <v>202958.47</v>
      </c>
      <c r="C29" s="871">
        <f t="shared" si="2"/>
        <v>0</v>
      </c>
      <c r="D29" s="871">
        <f t="shared" si="2"/>
        <v>0</v>
      </c>
      <c r="E29" s="871">
        <f t="shared" si="2"/>
        <v>0</v>
      </c>
      <c r="F29" s="871">
        <f t="shared" si="2"/>
        <v>0</v>
      </c>
      <c r="G29" s="872">
        <f t="shared" si="2"/>
        <v>202958.47</v>
      </c>
    </row>
    <row r="30" spans="1:7" s="868" customFormat="1" ht="15" customHeight="1" thickTop="1">
      <c r="A30" s="869"/>
      <c r="B30" s="873"/>
      <c r="C30" s="873"/>
      <c r="D30" s="873"/>
      <c r="E30" s="867"/>
      <c r="F30" s="867"/>
      <c r="G30" s="867"/>
    </row>
    <row r="31" spans="1:7" s="868" customFormat="1" ht="15" customHeight="1">
      <c r="A31" s="859" t="s">
        <v>306</v>
      </c>
      <c r="B31" s="861"/>
      <c r="C31" s="861"/>
      <c r="D31" s="861"/>
      <c r="E31" s="874"/>
      <c r="F31" s="874"/>
      <c r="G31" s="867"/>
    </row>
    <row r="32" spans="1:7" s="868" customFormat="1" ht="15" customHeight="1">
      <c r="A32" s="869" t="s">
        <v>307</v>
      </c>
      <c r="B32" s="867">
        <f>'Earned Incurred QTD-5'!B49</f>
        <v>38063.41</v>
      </c>
      <c r="C32" s="873">
        <v>0</v>
      </c>
      <c r="D32" s="867">
        <v>0</v>
      </c>
      <c r="E32" s="873">
        <v>0</v>
      </c>
      <c r="F32" s="867">
        <v>0</v>
      </c>
      <c r="G32" s="867">
        <f>SUM(B32:F32)</f>
        <v>38063.41</v>
      </c>
    </row>
    <row r="33" spans="1:7" s="868" customFormat="1" ht="15" customHeight="1">
      <c r="A33" s="869" t="s">
        <v>308</v>
      </c>
      <c r="B33" s="867">
        <f>'[14]Equity YTD-4'!$B$28</f>
        <v>204862.30000000005</v>
      </c>
      <c r="C33" s="867">
        <v>0</v>
      </c>
      <c r="D33" s="867">
        <v>0</v>
      </c>
      <c r="E33" s="867">
        <v>0</v>
      </c>
      <c r="F33" s="867">
        <v>0</v>
      </c>
      <c r="G33" s="867">
        <f>SUM(B33:F33)</f>
        <v>204862.30000000005</v>
      </c>
    </row>
    <row r="34" spans="1:7" s="868" customFormat="1" ht="15" customHeight="1" thickBot="1">
      <c r="A34" s="869" t="s">
        <v>292</v>
      </c>
      <c r="B34" s="871">
        <f>SUM(B32:B33)-1</f>
        <v>242924.71000000005</v>
      </c>
      <c r="C34" s="871">
        <f>SUM(C32:C33)</f>
        <v>0</v>
      </c>
      <c r="D34" s="871">
        <f>SUM(D32:D33)</f>
        <v>0</v>
      </c>
      <c r="E34" s="871">
        <f>SUM(E32:E33)</f>
        <v>0</v>
      </c>
      <c r="F34" s="871">
        <f>SUM(F32:F33)</f>
        <v>0</v>
      </c>
      <c r="G34" s="872">
        <f>SUM(G32:G33)-1</f>
        <v>242924.71000000005</v>
      </c>
    </row>
    <row r="35" spans="1:7" s="868" customFormat="1" ht="15" customHeight="1" thickTop="1">
      <c r="A35" s="869"/>
      <c r="B35" s="873"/>
      <c r="C35" s="873"/>
      <c r="D35" s="873"/>
      <c r="E35" s="867"/>
      <c r="F35" s="867"/>
      <c r="G35" s="879"/>
    </row>
    <row r="36" spans="1:7" s="868" customFormat="1" ht="15" customHeight="1" thickBot="1">
      <c r="A36" s="859" t="s">
        <v>309</v>
      </c>
      <c r="B36" s="878">
        <f>B24-B29+B34+1</f>
        <v>3740242.7899999996</v>
      </c>
      <c r="C36" s="878">
        <f>C24-C29+C34</f>
        <v>-2307865.6999999997</v>
      </c>
      <c r="D36" s="878">
        <f>D24-D29+D34</f>
        <v>-249249.15000000002</v>
      </c>
      <c r="E36" s="878">
        <f>E24-E29+E34</f>
        <v>-6355.68</v>
      </c>
      <c r="F36" s="878">
        <f>F24-F29+F34</f>
        <v>-33220.2</v>
      </c>
      <c r="G36" s="872">
        <f>SUM(B36:F36)-1</f>
        <v>1143551.06</v>
      </c>
    </row>
    <row r="37" spans="1:7" s="868" customFormat="1" ht="15" customHeight="1" thickTop="1">
      <c r="A37" s="869"/>
      <c r="B37" s="873"/>
      <c r="C37" s="873"/>
      <c r="D37" s="873"/>
      <c r="E37" s="867"/>
      <c r="F37" s="867"/>
      <c r="G37" s="867"/>
    </row>
    <row r="38" spans="1:7" s="868" customFormat="1" ht="15" customHeight="1">
      <c r="A38" s="880" t="s">
        <v>101</v>
      </c>
      <c r="B38" s="881"/>
      <c r="C38" s="881"/>
      <c r="D38" s="881"/>
      <c r="E38" s="867"/>
      <c r="F38" s="867"/>
      <c r="G38" s="867"/>
    </row>
    <row r="39" spans="1:7" s="868" customFormat="1" ht="15" customHeight="1">
      <c r="A39" s="869" t="s">
        <v>267</v>
      </c>
      <c r="B39" s="867">
        <f>'Equity YTD-4'!B39</f>
        <v>11391540</v>
      </c>
      <c r="C39" s="867">
        <f>'Equity YTD-4'!C39</f>
        <v>648051</v>
      </c>
      <c r="D39" s="867">
        <f>'Equity YTD-4'!D39</f>
        <v>0</v>
      </c>
      <c r="E39" s="867">
        <f>'Equity YTD-4'!E39</f>
        <v>0</v>
      </c>
      <c r="F39" s="867">
        <f>'Equity YTD-4'!F39</f>
        <v>0</v>
      </c>
      <c r="G39" s="867">
        <f>SUM(B39:F39)</f>
        <v>12039591</v>
      </c>
    </row>
    <row r="40" spans="1:7" s="868" customFormat="1" ht="15" customHeight="1">
      <c r="A40" s="869" t="s">
        <v>310</v>
      </c>
      <c r="B40" s="867">
        <f>'Equity YTD-4'!B40</f>
        <v>2363752.3</v>
      </c>
      <c r="C40" s="867">
        <f>'Equity YTD-4'!C40</f>
        <v>3652989.8200000003</v>
      </c>
      <c r="D40" s="867">
        <f>'Equity YTD-4'!D40</f>
        <v>151616.29</v>
      </c>
      <c r="E40" s="867">
        <f>'Equity YTD-4'!E40</f>
        <v>151114.69</v>
      </c>
      <c r="F40" s="867">
        <f>'Equity YTD-4'!F40</f>
        <v>67036.82</v>
      </c>
      <c r="G40" s="867">
        <f>SUM(B40:F40)</f>
        <v>6386509.920000001</v>
      </c>
    </row>
    <row r="41" spans="1:7" s="868" customFormat="1" ht="15" customHeight="1">
      <c r="A41" s="869" t="s">
        <v>311</v>
      </c>
      <c r="B41" s="867">
        <f>'Equity YTD-4'!B41</f>
        <v>501101.42000000004</v>
      </c>
      <c r="C41" s="867">
        <f>'Equity YTD-4'!C41</f>
        <v>120253.03</v>
      </c>
      <c r="D41" s="867">
        <f>'Equity YTD-4'!D41</f>
        <v>41677.18</v>
      </c>
      <c r="E41" s="867">
        <f>'Equity YTD-4'!E41</f>
        <v>10973.23</v>
      </c>
      <c r="F41" s="867">
        <f>'Equity YTD-4'!F41</f>
        <v>6091.65</v>
      </c>
      <c r="G41" s="867">
        <f>SUM(B41:F41)-1</f>
        <v>680095.5100000001</v>
      </c>
    </row>
    <row r="42" spans="1:7" s="868" customFormat="1" ht="15" customHeight="1">
      <c r="A42" s="869" t="s">
        <v>312</v>
      </c>
      <c r="B42" s="867">
        <f>'Equity YTD-4'!B42</f>
        <v>321210.28</v>
      </c>
      <c r="C42" s="873">
        <f>'Equity YTD-4'!C42</f>
        <v>0</v>
      </c>
      <c r="D42" s="873">
        <f>'Equity YTD-4'!D42</f>
        <v>0</v>
      </c>
      <c r="E42" s="873">
        <f>'Equity YTD-4'!E42</f>
        <v>0</v>
      </c>
      <c r="F42" s="867">
        <f>'Equity YTD-4'!F42</f>
        <v>0</v>
      </c>
      <c r="G42" s="867">
        <f>SUM(B42:F42)</f>
        <v>321210.28</v>
      </c>
    </row>
    <row r="43" spans="1:7" s="868" customFormat="1" ht="15" customHeight="1">
      <c r="A43" s="869" t="s">
        <v>313</v>
      </c>
      <c r="B43" s="867">
        <f>'Equity YTD-4'!B43</f>
        <v>41432.32</v>
      </c>
      <c r="C43" s="873">
        <f>'Equity YTD-4'!C43</f>
        <v>0</v>
      </c>
      <c r="D43" s="867">
        <f>'Equity YTD-4'!D43</f>
        <v>0</v>
      </c>
      <c r="E43" s="873">
        <f>'Equity YTD-4'!E43</f>
        <v>0</v>
      </c>
      <c r="F43" s="867">
        <f>'Equity YTD-4'!F43</f>
        <v>0</v>
      </c>
      <c r="G43" s="867">
        <f>SUM(B43:F43)</f>
        <v>41432.32</v>
      </c>
    </row>
    <row r="44" spans="1:7" s="868" customFormat="1" ht="15" customHeight="1" thickBot="1">
      <c r="A44" s="882" t="s">
        <v>292</v>
      </c>
      <c r="B44" s="871">
        <f>SUM(B39:B43)-1</f>
        <v>14619035.32</v>
      </c>
      <c r="C44" s="871">
        <f>SUM(C39:C43)</f>
        <v>4421293.850000001</v>
      </c>
      <c r="D44" s="871">
        <f>SUM(D39:D43)</f>
        <v>193293.47</v>
      </c>
      <c r="E44" s="871">
        <f>SUM(E39:E43)</f>
        <v>162087.92</v>
      </c>
      <c r="F44" s="871">
        <f>SUM(F39:F43)+1</f>
        <v>73129.47</v>
      </c>
      <c r="G44" s="872">
        <f>SUM(G39:G43)-1</f>
        <v>19468838.030000005</v>
      </c>
    </row>
    <row r="45" spans="1:7" s="868" customFormat="1" ht="15" customHeight="1" thickTop="1">
      <c r="A45" s="869"/>
      <c r="B45" s="873"/>
      <c r="C45" s="873"/>
      <c r="D45" s="873"/>
      <c r="E45" s="867"/>
      <c r="F45" s="867"/>
      <c r="G45" s="867"/>
    </row>
    <row r="46" spans="1:7" s="868" customFormat="1" ht="15" customHeight="1">
      <c r="A46" s="880" t="s">
        <v>102</v>
      </c>
      <c r="B46" s="881"/>
      <c r="C46" s="881"/>
      <c r="D46" s="881"/>
      <c r="E46" s="867"/>
      <c r="F46" s="867"/>
      <c r="G46" s="867"/>
    </row>
    <row r="47" spans="1:7" s="868" customFormat="1" ht="15" customHeight="1">
      <c r="A47" s="869" t="s">
        <v>267</v>
      </c>
      <c r="B47" s="867">
        <f>'Premiums QTD-7'!B23</f>
        <v>8975394</v>
      </c>
      <c r="C47" s="867">
        <f>'Premiums QTD-7'!C23</f>
        <v>2725783</v>
      </c>
      <c r="D47" s="867">
        <f>'Premiums QTD-7'!D23</f>
        <v>0</v>
      </c>
      <c r="E47" s="867">
        <f>'Premiums QTD-7'!E23</f>
        <v>0</v>
      </c>
      <c r="F47" s="867">
        <f>'Premiums QTD-7'!F23</f>
        <v>0</v>
      </c>
      <c r="G47" s="867">
        <f>SUM(B47:F47)</f>
        <v>11701177</v>
      </c>
    </row>
    <row r="48" spans="1:7" s="868" customFormat="1" ht="15" customHeight="1">
      <c r="A48" s="869" t="s">
        <v>310</v>
      </c>
      <c r="B48" s="867">
        <f>'Losses Incurred QTD-9'!B32</f>
        <v>1559450.6400000001</v>
      </c>
      <c r="C48" s="867">
        <f>'Losses Incurred QTD-9'!C32</f>
        <v>4538852.66</v>
      </c>
      <c r="D48" s="867">
        <f>'Losses Incurred QTD-9'!D32</f>
        <v>411120.48</v>
      </c>
      <c r="E48" s="867">
        <f>'Losses Incurred QTD-9'!E32</f>
        <v>110357.53</v>
      </c>
      <c r="F48" s="867">
        <f>'Losses Incurred QTD-9'!F32</f>
        <v>119664.54000000001</v>
      </c>
      <c r="G48" s="867">
        <f>SUM(B48:F48)+1</f>
        <v>6739446.8500000015</v>
      </c>
    </row>
    <row r="49" spans="1:7" s="868" customFormat="1" ht="15" customHeight="1">
      <c r="A49" s="869" t="s">
        <v>314</v>
      </c>
      <c r="B49" s="867">
        <f>'Loss Expenses QTD-11'!B24</f>
        <v>421873.74</v>
      </c>
      <c r="C49" s="867">
        <f>'Loss Expenses QTD-11'!C24</f>
        <v>124103.82</v>
      </c>
      <c r="D49" s="867">
        <f>'Loss Expenses QTD-11'!D24</f>
        <v>62967.39000000001</v>
      </c>
      <c r="E49" s="867">
        <f>'Loss Expenses QTD-11'!E24</f>
        <v>15634.529999999999</v>
      </c>
      <c r="F49" s="867">
        <f>'Loss Expenses QTD-11'!F24</f>
        <v>10878.09</v>
      </c>
      <c r="G49" s="867">
        <f>SUM(B49:F49)</f>
        <v>635457.5700000001</v>
      </c>
    </row>
    <row r="50" spans="1:7" s="868" customFormat="1" ht="15" customHeight="1">
      <c r="A50" s="869" t="s">
        <v>312</v>
      </c>
      <c r="B50" s="867">
        <f>'Earned Incurred QTD-5'!B42</f>
        <v>347860.58</v>
      </c>
      <c r="C50" s="867">
        <v>0</v>
      </c>
      <c r="D50" s="867">
        <v>0</v>
      </c>
      <c r="E50" s="867">
        <v>0</v>
      </c>
      <c r="F50" s="867">
        <v>0</v>
      </c>
      <c r="G50" s="867">
        <f>SUM(B50:F50)</f>
        <v>347860.58</v>
      </c>
    </row>
    <row r="51" spans="1:7" s="868" customFormat="1" ht="15" customHeight="1">
      <c r="A51" s="869" t="s">
        <v>313</v>
      </c>
      <c r="B51" s="867">
        <f>'Earned Incurred QTD-5'!B34</f>
        <v>19328.66</v>
      </c>
      <c r="C51" s="867">
        <v>0</v>
      </c>
      <c r="D51" s="867">
        <v>0</v>
      </c>
      <c r="E51" s="867">
        <v>0</v>
      </c>
      <c r="F51" s="867">
        <v>0</v>
      </c>
      <c r="G51" s="867">
        <f>SUM(B51:F51)</f>
        <v>19328.66</v>
      </c>
    </row>
    <row r="52" spans="1:7" s="868" customFormat="1" ht="15" customHeight="1" thickBot="1">
      <c r="A52" s="869" t="s">
        <v>292</v>
      </c>
      <c r="B52" s="871">
        <f>SUM(B47:B51)+1</f>
        <v>11323908.620000001</v>
      </c>
      <c r="C52" s="871">
        <f>SUM(C47:C51)+1</f>
        <v>7388740.48</v>
      </c>
      <c r="D52" s="871">
        <f>SUM(D47:D51)-1</f>
        <v>474086.87</v>
      </c>
      <c r="E52" s="871">
        <f>SUM(E47:E51)+1</f>
        <v>125993.06</v>
      </c>
      <c r="F52" s="871">
        <f>SUM(F47:F51)</f>
        <v>130542.63</v>
      </c>
      <c r="G52" s="872">
        <f>SUM(B52:F52)-1</f>
        <v>19443270.66</v>
      </c>
    </row>
    <row r="53" spans="1:7" s="868" customFormat="1" ht="15" customHeight="1" thickTop="1">
      <c r="A53" s="869"/>
      <c r="B53" s="873"/>
      <c r="C53" s="873"/>
      <c r="D53" s="873"/>
      <c r="E53" s="873"/>
      <c r="F53" s="873"/>
      <c r="G53" s="488" t="s">
        <v>93</v>
      </c>
    </row>
    <row r="54" spans="1:8" s="868" customFormat="1" ht="15" customHeight="1" thickBot="1">
      <c r="A54" s="877" t="s">
        <v>315</v>
      </c>
      <c r="B54" s="883">
        <f>B36-B44+B52+1</f>
        <v>445117.08999999985</v>
      </c>
      <c r="C54" s="883">
        <f>C36-C44+C52-1</f>
        <v>659579.9299999997</v>
      </c>
      <c r="D54" s="883">
        <f>D36-D44+D52+1</f>
        <v>31545.25</v>
      </c>
      <c r="E54" s="883">
        <f>E36-E44+E52</f>
        <v>-42450.54000000001</v>
      </c>
      <c r="F54" s="883">
        <f>F36-F44+F52+1</f>
        <v>24193.960000000006</v>
      </c>
      <c r="G54" s="883">
        <f>G36-G44+G52</f>
        <v>1117983.689999994</v>
      </c>
      <c r="H54" s="876"/>
    </row>
    <row r="55" spans="1:8" s="868" customFormat="1" ht="15" customHeight="1" thickTop="1">
      <c r="A55" s="869"/>
      <c r="B55" s="876"/>
      <c r="C55" s="876"/>
      <c r="D55" s="873"/>
      <c r="E55" s="873"/>
      <c r="F55" s="873"/>
      <c r="G55" s="884"/>
      <c r="H55" s="876"/>
    </row>
    <row r="56" spans="1:7" s="868" customFormat="1" ht="15" customHeight="1">
      <c r="A56" s="869"/>
      <c r="B56" s="876"/>
      <c r="C56" s="876"/>
      <c r="D56" s="873"/>
      <c r="E56" s="873"/>
      <c r="F56" s="873"/>
      <c r="G56" s="884"/>
    </row>
    <row r="57" spans="1:7" s="868" customFormat="1" ht="15" customHeight="1">
      <c r="A57" s="869"/>
      <c r="B57" s="876"/>
      <c r="C57" s="876"/>
      <c r="D57" s="873"/>
      <c r="E57" s="873"/>
      <c r="F57" s="873"/>
      <c r="G57" s="873"/>
    </row>
    <row r="58" spans="2:7" s="868" customFormat="1" ht="15" customHeight="1">
      <c r="B58" s="876"/>
      <c r="C58" s="876"/>
      <c r="D58" s="873"/>
      <c r="E58" s="873"/>
      <c r="F58" s="873"/>
      <c r="G58" s="873"/>
    </row>
    <row r="59" spans="2:7" s="868" customFormat="1" ht="15" customHeight="1">
      <c r="B59" s="876"/>
      <c r="C59" s="876"/>
      <c r="D59" s="873"/>
      <c r="E59" s="873"/>
      <c r="F59" s="873"/>
      <c r="G59" s="873"/>
    </row>
    <row r="60" spans="2:7" s="868" customFormat="1" ht="15" customHeight="1">
      <c r="B60" s="876"/>
      <c r="C60" s="876"/>
      <c r="D60" s="873"/>
      <c r="E60" s="873"/>
      <c r="F60" s="873"/>
      <c r="G60" s="873"/>
    </row>
    <row r="61" spans="1:7" s="868" customFormat="1" ht="15" customHeight="1">
      <c r="A61" s="864"/>
      <c r="B61" s="885"/>
      <c r="C61" s="885"/>
      <c r="D61" s="873"/>
      <c r="E61" s="873"/>
      <c r="F61" s="873"/>
      <c r="G61" s="873"/>
    </row>
    <row r="62" spans="2:7" s="868" customFormat="1" ht="15" customHeight="1">
      <c r="B62" s="876"/>
      <c r="C62" s="876"/>
      <c r="D62" s="873"/>
      <c r="E62" s="873"/>
      <c r="F62" s="873"/>
      <c r="G62" s="488"/>
    </row>
    <row r="63" spans="2:7" s="868" customFormat="1" ht="15" customHeight="1">
      <c r="B63" s="876"/>
      <c r="C63" s="876"/>
      <c r="D63" s="873"/>
      <c r="E63" s="873"/>
      <c r="F63" s="873"/>
      <c r="G63" s="488"/>
    </row>
    <row r="64" spans="2:7" s="868" customFormat="1" ht="15" customHeight="1">
      <c r="B64" s="876"/>
      <c r="C64" s="876"/>
      <c r="D64" s="873"/>
      <c r="E64" s="873"/>
      <c r="F64" s="873"/>
      <c r="G64" s="488"/>
    </row>
    <row r="65" spans="2:7" s="868" customFormat="1" ht="15" customHeight="1">
      <c r="B65" s="876"/>
      <c r="C65" s="876"/>
      <c r="D65" s="873"/>
      <c r="E65" s="873"/>
      <c r="F65" s="873"/>
      <c r="G65" s="488"/>
    </row>
    <row r="66" spans="2:7" s="868" customFormat="1" ht="15" customHeight="1">
      <c r="B66" s="876"/>
      <c r="C66" s="876"/>
      <c r="D66" s="873"/>
      <c r="E66" s="873"/>
      <c r="F66" s="873"/>
      <c r="G66" s="488"/>
    </row>
    <row r="67" spans="2:7" s="868" customFormat="1" ht="15" customHeight="1">
      <c r="B67" s="876"/>
      <c r="C67" s="876"/>
      <c r="D67" s="873"/>
      <c r="E67" s="873"/>
      <c r="F67" s="873"/>
      <c r="G67" s="488"/>
    </row>
    <row r="68" spans="2:7" s="868" customFormat="1" ht="15" customHeight="1">
      <c r="B68" s="876"/>
      <c r="C68" s="876"/>
      <c r="D68" s="873"/>
      <c r="E68" s="873"/>
      <c r="F68" s="873"/>
      <c r="G68" s="488"/>
    </row>
    <row r="69" spans="2:7" s="868" customFormat="1" ht="15" customHeight="1">
      <c r="B69" s="876"/>
      <c r="C69" s="876"/>
      <c r="D69" s="873"/>
      <c r="E69" s="873"/>
      <c r="F69" s="873"/>
      <c r="G69" s="488"/>
    </row>
    <row r="70" spans="2:7" s="868" customFormat="1" ht="15" customHeight="1">
      <c r="B70" s="876"/>
      <c r="C70" s="876"/>
      <c r="D70" s="873"/>
      <c r="E70" s="873"/>
      <c r="F70" s="873"/>
      <c r="G70" s="488"/>
    </row>
    <row r="71" spans="2:7" s="868" customFormat="1" ht="15" customHeight="1">
      <c r="B71" s="876"/>
      <c r="C71" s="876"/>
      <c r="D71" s="873"/>
      <c r="E71" s="873"/>
      <c r="F71" s="873"/>
      <c r="G71" s="488"/>
    </row>
    <row r="72" spans="2:7" s="868" customFormat="1" ht="15" customHeight="1">
      <c r="B72" s="876"/>
      <c r="C72" s="876"/>
      <c r="D72" s="873"/>
      <c r="E72" s="873"/>
      <c r="F72" s="873"/>
      <c r="G72" s="488"/>
    </row>
    <row r="73" spans="2:7" s="868" customFormat="1" ht="15" customHeight="1">
      <c r="B73" s="876"/>
      <c r="C73" s="876"/>
      <c r="D73" s="873"/>
      <c r="E73" s="873"/>
      <c r="F73" s="873"/>
      <c r="G73" s="488"/>
    </row>
    <row r="74" spans="2:7" s="868" customFormat="1" ht="15" customHeight="1">
      <c r="B74" s="876"/>
      <c r="C74" s="876"/>
      <c r="D74" s="873"/>
      <c r="E74" s="873"/>
      <c r="F74" s="873"/>
      <c r="G74" s="488"/>
    </row>
    <row r="75" spans="2:7" s="868" customFormat="1" ht="15" customHeight="1">
      <c r="B75" s="876"/>
      <c r="C75" s="876"/>
      <c r="D75" s="873"/>
      <c r="E75" s="873"/>
      <c r="F75" s="873"/>
      <c r="G75" s="488"/>
    </row>
    <row r="76" spans="2:7" s="868" customFormat="1" ht="15" customHeight="1">
      <c r="B76" s="876"/>
      <c r="C76" s="876"/>
      <c r="D76" s="873"/>
      <c r="E76" s="873"/>
      <c r="F76" s="873"/>
      <c r="G76" s="488"/>
    </row>
    <row r="77" spans="2:7" s="868" customFormat="1" ht="15" customHeight="1">
      <c r="B77" s="876"/>
      <c r="C77" s="876"/>
      <c r="D77" s="873"/>
      <c r="E77" s="873"/>
      <c r="F77" s="873"/>
      <c r="G77" s="488"/>
    </row>
    <row r="78" spans="2:7" s="868" customFormat="1" ht="15" customHeight="1">
      <c r="B78" s="876"/>
      <c r="C78" s="876"/>
      <c r="D78" s="873"/>
      <c r="E78" s="873"/>
      <c r="F78" s="873"/>
      <c r="G78" s="488"/>
    </row>
    <row r="79" spans="2:7" s="868" customFormat="1" ht="15" customHeight="1">
      <c r="B79" s="876"/>
      <c r="C79" s="876"/>
      <c r="D79" s="873"/>
      <c r="E79" s="873"/>
      <c r="F79" s="873"/>
      <c r="G79" s="488"/>
    </row>
    <row r="80" spans="2:7" s="868" customFormat="1" ht="15" customHeight="1">
      <c r="B80" s="876"/>
      <c r="C80" s="876"/>
      <c r="D80" s="873"/>
      <c r="E80" s="873"/>
      <c r="F80" s="873"/>
      <c r="G80" s="488"/>
    </row>
    <row r="81" spans="2:7" s="868" customFormat="1" ht="15" customHeight="1">
      <c r="B81" s="876"/>
      <c r="C81" s="876"/>
      <c r="D81" s="873"/>
      <c r="E81" s="873"/>
      <c r="F81" s="873"/>
      <c r="G81" s="488"/>
    </row>
    <row r="82" spans="2:7" s="868" customFormat="1" ht="15" customHeight="1">
      <c r="B82" s="876"/>
      <c r="C82" s="876"/>
      <c r="D82" s="873"/>
      <c r="E82" s="873"/>
      <c r="F82" s="873"/>
      <c r="G82" s="488"/>
    </row>
    <row r="83" spans="2:7" s="868" customFormat="1" ht="15" customHeight="1">
      <c r="B83" s="876"/>
      <c r="C83" s="876"/>
      <c r="D83" s="873"/>
      <c r="E83" s="873"/>
      <c r="F83" s="873"/>
      <c r="G83" s="488"/>
    </row>
    <row r="84" spans="2:7" s="868" customFormat="1" ht="15" customHeight="1">
      <c r="B84" s="876"/>
      <c r="C84" s="876"/>
      <c r="D84" s="873"/>
      <c r="E84" s="873"/>
      <c r="F84" s="873"/>
      <c r="G84" s="488"/>
    </row>
    <row r="85" spans="2:7" s="868" customFormat="1" ht="15" customHeight="1">
      <c r="B85" s="876"/>
      <c r="C85" s="876"/>
      <c r="D85" s="873"/>
      <c r="E85" s="873"/>
      <c r="F85" s="873"/>
      <c r="G85" s="48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7.xml><?xml version="1.0" encoding="utf-8"?>
<worksheet xmlns="http://schemas.openxmlformats.org/spreadsheetml/2006/main" xmlns:r="http://schemas.openxmlformats.org/officeDocument/2006/relationships">
  <dimension ref="A1:H88"/>
  <sheetViews>
    <sheetView zoomScale="75" zoomScaleNormal="75" workbookViewId="0" topLeftCell="A1">
      <selection activeCell="E11" sqref="E11"/>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1" t="s">
        <v>254</v>
      </c>
      <c r="B1" s="971"/>
      <c r="C1" s="971"/>
      <c r="D1" s="971"/>
      <c r="E1" s="971"/>
      <c r="F1" s="971"/>
      <c r="G1" s="971"/>
    </row>
    <row r="2" spans="1:7" s="27" customFormat="1" ht="15" customHeight="1">
      <c r="A2" s="972"/>
      <c r="B2" s="972"/>
      <c r="C2" s="972"/>
      <c r="D2" s="972"/>
      <c r="E2" s="972"/>
      <c r="F2" s="972"/>
      <c r="G2" s="972"/>
    </row>
    <row r="3" spans="1:7" s="795" customFormat="1" ht="15" customHeight="1">
      <c r="A3" s="973" t="s">
        <v>287</v>
      </c>
      <c r="B3" s="973"/>
      <c r="C3" s="973"/>
      <c r="D3" s="973"/>
      <c r="E3" s="973"/>
      <c r="F3" s="973"/>
      <c r="G3" s="973"/>
    </row>
    <row r="4" spans="1:7" s="795" customFormat="1" ht="15" customHeight="1">
      <c r="A4" s="973" t="s">
        <v>485</v>
      </c>
      <c r="B4" s="973"/>
      <c r="C4" s="973"/>
      <c r="D4" s="973"/>
      <c r="E4" s="973"/>
      <c r="F4" s="973"/>
      <c r="G4" s="973"/>
    </row>
    <row r="5" spans="1:7" s="29" customFormat="1" ht="15" customHeight="1">
      <c r="A5" s="383"/>
      <c r="B5" s="827"/>
      <c r="C5" s="827"/>
      <c r="D5" s="828"/>
      <c r="E5" s="829"/>
      <c r="F5" s="829"/>
      <c r="G5" s="830"/>
    </row>
    <row r="6" spans="1:7" s="798" customFormat="1" ht="30" customHeight="1">
      <c r="A6" s="857"/>
      <c r="B6" s="831" t="s">
        <v>194</v>
      </c>
      <c r="C6" s="831" t="s">
        <v>42</v>
      </c>
      <c r="D6" s="831" t="s">
        <v>46</v>
      </c>
      <c r="E6" s="831" t="s">
        <v>143</v>
      </c>
      <c r="F6" s="831" t="s">
        <v>213</v>
      </c>
      <c r="G6" s="831" t="s">
        <v>255</v>
      </c>
    </row>
    <row r="7" spans="1:7" s="799" customFormat="1" ht="15" customHeight="1">
      <c r="A7" s="859" t="s">
        <v>289</v>
      </c>
      <c r="B7" s="860"/>
      <c r="C7" s="860"/>
      <c r="D7" s="861"/>
      <c r="E7" s="862"/>
      <c r="F7" s="862"/>
      <c r="G7" s="863"/>
    </row>
    <row r="8" spans="1:7" s="797" customFormat="1" ht="15" customHeight="1">
      <c r="A8" s="865" t="s">
        <v>290</v>
      </c>
      <c r="B8" s="866">
        <f>'Premiums YTD-8'!B11</f>
        <v>18169773</v>
      </c>
      <c r="C8" s="866">
        <f>'Premiums YTD-8'!C11</f>
        <v>-53989</v>
      </c>
      <c r="D8" s="866">
        <f>'Premiums YTD-8'!D11</f>
        <v>-5698</v>
      </c>
      <c r="E8" s="866">
        <f>'Premiums YTD-8'!E11</f>
        <v>-250</v>
      </c>
      <c r="F8" s="866">
        <f>'Premiums YTD-8'!F11</f>
        <v>-477</v>
      </c>
      <c r="G8" s="866">
        <f>SUM(B8:F8)</f>
        <v>18109359</v>
      </c>
    </row>
    <row r="9" spans="1:7" s="797" customFormat="1" ht="15" customHeight="1">
      <c r="A9" s="865" t="s">
        <v>291</v>
      </c>
      <c r="B9" s="867">
        <f>'Earned Incurred YTD-6'!$C$48</f>
        <v>83862.27999999997</v>
      </c>
      <c r="C9" s="867">
        <v>0</v>
      </c>
      <c r="D9" s="867">
        <v>0</v>
      </c>
      <c r="E9" s="867">
        <v>0</v>
      </c>
      <c r="F9" s="867">
        <v>0</v>
      </c>
      <c r="G9" s="867">
        <f>SUM(B9:F9)</f>
        <v>83862.27999999997</v>
      </c>
    </row>
    <row r="10" spans="1:7" s="797" customFormat="1" ht="15" customHeight="1" thickBot="1">
      <c r="A10" s="869" t="s">
        <v>292</v>
      </c>
      <c r="B10" s="870">
        <f aca="true" t="shared" si="0" ref="B10:G10">SUM(B8:B9)</f>
        <v>18253635.28</v>
      </c>
      <c r="C10" s="870">
        <f t="shared" si="0"/>
        <v>-53989</v>
      </c>
      <c r="D10" s="870">
        <f t="shared" si="0"/>
        <v>-5698</v>
      </c>
      <c r="E10" s="871">
        <f t="shared" si="0"/>
        <v>-250</v>
      </c>
      <c r="F10" s="871">
        <f t="shared" si="0"/>
        <v>-477</v>
      </c>
      <c r="G10" s="872">
        <f t="shared" si="0"/>
        <v>18193221.28</v>
      </c>
    </row>
    <row r="11" spans="1:7" s="797" customFormat="1" ht="15" customHeight="1" thickTop="1">
      <c r="A11" s="869"/>
      <c r="B11" s="873"/>
      <c r="C11" s="873"/>
      <c r="D11" s="873"/>
      <c r="E11" s="867"/>
      <c r="F11" s="867"/>
      <c r="G11" s="867"/>
    </row>
    <row r="12" spans="1:7" s="797" customFormat="1" ht="15" customHeight="1">
      <c r="A12" s="859" t="s">
        <v>293</v>
      </c>
      <c r="B12" s="861"/>
      <c r="C12" s="861"/>
      <c r="D12" s="861"/>
      <c r="E12" s="874"/>
      <c r="F12" s="874"/>
      <c r="G12" s="867"/>
    </row>
    <row r="13" spans="1:7" s="797" customFormat="1" ht="15" customHeight="1">
      <c r="A13" s="869" t="s">
        <v>294</v>
      </c>
      <c r="B13" s="867">
        <f>'Losses Incurred YTD-10'!B13</f>
        <v>897857.5700000001</v>
      </c>
      <c r="C13" s="867">
        <f>'Losses Incurred YTD-10'!C13</f>
        <v>7255358.92</v>
      </c>
      <c r="D13" s="867">
        <f>'Losses Incurred YTD-10'!D13</f>
        <v>1870432.1500000001</v>
      </c>
      <c r="E13" s="867">
        <f>'Losses Incurred YTD-10'!E13</f>
        <v>78.15000000000055</v>
      </c>
      <c r="F13" s="867">
        <f>'Losses Incurred YTD-10'!F13</f>
        <v>99228.20999999999</v>
      </c>
      <c r="G13" s="867">
        <f>SUM(B13:F13)</f>
        <v>10122955.000000002</v>
      </c>
    </row>
    <row r="14" spans="1:7" s="797" customFormat="1" ht="15" customHeight="1">
      <c r="A14" s="869" t="s">
        <v>295</v>
      </c>
      <c r="B14" s="867">
        <f>'[13]TRIAL BALANCE @ 10-26-04'!F356</f>
        <v>126737.91</v>
      </c>
      <c r="C14" s="867">
        <f>'[13]TRIAL BALANCE @ 10-26-04'!F353</f>
        <v>576815.38</v>
      </c>
      <c r="D14" s="867">
        <f>'[13]TRIAL BALANCE @ 10-26-04'!F349</f>
        <v>118010.30000000002</v>
      </c>
      <c r="E14" s="867">
        <f>'[13]TRIAL BALANCE @ 10-26-04'!F346</f>
        <v>2999.26</v>
      </c>
      <c r="F14" s="867">
        <f>'[13]TRIAL BALANCE @ 10-26-04'!F343</f>
        <v>10476.470000000001</v>
      </c>
      <c r="G14" s="867">
        <f aca="true" t="shared" si="1" ref="G14:G21">SUM(B14:F14)</f>
        <v>835039.3200000001</v>
      </c>
    </row>
    <row r="15" spans="1:7" s="797" customFormat="1" ht="15" customHeight="1">
      <c r="A15" s="869" t="s">
        <v>296</v>
      </c>
      <c r="B15" s="867">
        <f>'[13]TRIAL BALANCE @ 10-26-04'!F373</f>
        <v>39015.76</v>
      </c>
      <c r="C15" s="867">
        <f>'[13]TRIAL BALANCE @ 10-26-04'!F370</f>
        <v>295770.8</v>
      </c>
      <c r="D15" s="867">
        <f>'[13]TRIAL BALANCE @ 10-26-04'!F366</f>
        <v>71996.42</v>
      </c>
      <c r="E15" s="867">
        <f>'[13]TRIAL BALANCE @ 10-26-04'!F363</f>
        <v>249.04999999999998</v>
      </c>
      <c r="F15" s="867">
        <f>'[13]TRIAL BALANCE @ 10-26-04'!F360+1</f>
        <v>3973.17</v>
      </c>
      <c r="G15" s="867">
        <f t="shared" si="1"/>
        <v>411005.19999999995</v>
      </c>
    </row>
    <row r="16" spans="1:7" s="797" customFormat="1" ht="15" customHeight="1">
      <c r="A16" s="869" t="s">
        <v>297</v>
      </c>
      <c r="B16" s="867">
        <f>'[13]TRIAL BALANCE @ 10-26-04'!F497+1</f>
        <v>27519.17</v>
      </c>
      <c r="C16" s="867">
        <v>0</v>
      </c>
      <c r="D16" s="867">
        <v>0</v>
      </c>
      <c r="E16" s="867">
        <v>0</v>
      </c>
      <c r="F16" s="867">
        <v>0</v>
      </c>
      <c r="G16" s="867">
        <f t="shared" si="1"/>
        <v>27519.17</v>
      </c>
    </row>
    <row r="17" spans="1:7" s="797" customFormat="1" ht="15" customHeight="1">
      <c r="A17" s="875" t="s">
        <v>298</v>
      </c>
      <c r="B17" s="867">
        <f>'[13]TRIAL BALANCE @ 10-26-04'!F507</f>
        <v>258894.09</v>
      </c>
      <c r="C17" s="867">
        <v>0</v>
      </c>
      <c r="D17" s="867">
        <v>0</v>
      </c>
      <c r="E17" s="867">
        <v>0</v>
      </c>
      <c r="F17" s="867">
        <v>0</v>
      </c>
      <c r="G17" s="867">
        <f t="shared" si="1"/>
        <v>258894.09</v>
      </c>
    </row>
    <row r="18" spans="1:7" s="797" customFormat="1" ht="15" customHeight="1">
      <c r="A18" s="869" t="s">
        <v>300</v>
      </c>
      <c r="B18" s="867">
        <f>'[13]TRIAL BALANCE @ 10-26-04'!F499</f>
        <v>10106.25</v>
      </c>
      <c r="C18" s="867">
        <v>0</v>
      </c>
      <c r="D18" s="867">
        <v>0</v>
      </c>
      <c r="E18" s="867">
        <v>0</v>
      </c>
      <c r="F18" s="867">
        <v>0</v>
      </c>
      <c r="G18" s="867">
        <f t="shared" si="1"/>
        <v>10106.25</v>
      </c>
    </row>
    <row r="19" spans="1:7" s="797" customFormat="1" ht="15" customHeight="1">
      <c r="A19" s="875" t="s">
        <v>299</v>
      </c>
      <c r="B19" s="867">
        <f>'[13]TRIAL BALANCE @ 10-26-04'!F477+'[13]TRIAL BALANCE @ 10-26-04'!F490</f>
        <v>1660590.05</v>
      </c>
      <c r="C19" s="867">
        <f>'[13]TRIAL BALANCE @ 10-26-04'!F473+'[13]TRIAL BALANCE @ 10-26-04'!F486</f>
        <v>-27897.450000000004</v>
      </c>
      <c r="D19" s="867">
        <f>'[13]TRIAL BALANCE @ 10-26-04'!F469+'[13]TRIAL BALANCE @ 10-26-04'!F482</f>
        <v>-531.0999999999999</v>
      </c>
      <c r="E19" s="867">
        <f>'[13]TRIAL BALANCE @ 10-26-04'!F465</f>
        <v>-25</v>
      </c>
      <c r="F19" s="867">
        <f>'[13]TRIAL BALANCE @ 10-26-04'!F458+'[13]TRIAL BALANCE @ 10-26-04'!F462</f>
        <v>-47.7</v>
      </c>
      <c r="G19" s="867">
        <f t="shared" si="1"/>
        <v>1632088.8</v>
      </c>
    </row>
    <row r="20" spans="1:7" s="797" customFormat="1" ht="15" customHeight="1">
      <c r="A20" s="869" t="s">
        <v>301</v>
      </c>
      <c r="B20" s="867">
        <f>'Earned Incurred YTD-6'!C39</f>
        <v>2949941.1100000003</v>
      </c>
      <c r="C20" s="867">
        <v>0</v>
      </c>
      <c r="D20" s="867">
        <v>0</v>
      </c>
      <c r="E20" s="867">
        <v>0</v>
      </c>
      <c r="F20" s="867">
        <v>0</v>
      </c>
      <c r="G20" s="867">
        <f t="shared" si="1"/>
        <v>2949941.1100000003</v>
      </c>
    </row>
    <row r="21" spans="1:7" s="797" customFormat="1" ht="15" customHeight="1">
      <c r="A21" s="869" t="s">
        <v>97</v>
      </c>
      <c r="B21" s="867">
        <f>'[14]Equity YTD-4'!B21</f>
        <v>66012.18</v>
      </c>
      <c r="C21" s="867">
        <f>'[14]Equity YTD-4'!C21+'Equity QTD-3'!C21</f>
        <v>20311.14</v>
      </c>
      <c r="D21" s="867">
        <v>0</v>
      </c>
      <c r="E21" s="867">
        <v>0</v>
      </c>
      <c r="F21" s="867">
        <v>0</v>
      </c>
      <c r="G21" s="867">
        <f t="shared" si="1"/>
        <v>86323.31999999999</v>
      </c>
    </row>
    <row r="22" spans="1:7" s="797" customFormat="1" ht="15" customHeight="1" thickBot="1">
      <c r="A22" s="869" t="s">
        <v>292</v>
      </c>
      <c r="B22" s="870">
        <f>SUM(B13:B21)</f>
        <v>6036674.09</v>
      </c>
      <c r="C22" s="870">
        <f>SUM(C13:C21)</f>
        <v>8120358.789999999</v>
      </c>
      <c r="D22" s="870">
        <f>SUM(D13:D21)-1</f>
        <v>2059906.77</v>
      </c>
      <c r="E22" s="870">
        <f>SUM(E13:E21)</f>
        <v>3301.460000000001</v>
      </c>
      <c r="F22" s="870">
        <f>SUM(F13:F21)-1</f>
        <v>113629.15</v>
      </c>
      <c r="G22" s="872">
        <f>SUM(G13:G21)</f>
        <v>16333872.260000002</v>
      </c>
    </row>
    <row r="23" spans="1:7" s="797" customFormat="1" ht="15" customHeight="1" thickTop="1">
      <c r="A23" s="869"/>
      <c r="B23" s="873"/>
      <c r="C23" s="873"/>
      <c r="D23" s="873"/>
      <c r="E23" s="867"/>
      <c r="F23" s="867"/>
      <c r="G23" s="867"/>
    </row>
    <row r="24" spans="1:7" s="797" customFormat="1" ht="15" customHeight="1" thickBot="1">
      <c r="A24" s="877" t="s">
        <v>302</v>
      </c>
      <c r="B24" s="878">
        <f>B10-B22</f>
        <v>12216961.190000001</v>
      </c>
      <c r="C24" s="878">
        <f>C10-C22</f>
        <v>-8174347.789999999</v>
      </c>
      <c r="D24" s="878">
        <f>D10-D22</f>
        <v>-2065604.77</v>
      </c>
      <c r="E24" s="878">
        <f>E10-E22</f>
        <v>-3551.460000000001</v>
      </c>
      <c r="F24" s="878">
        <f>F10-F22</f>
        <v>-114106.15</v>
      </c>
      <c r="G24" s="872">
        <f>SUM(B24:F24)-2</f>
        <v>1859349.0200000023</v>
      </c>
    </row>
    <row r="25" spans="1:7" s="797" customFormat="1" ht="15" customHeight="1" thickTop="1">
      <c r="A25" s="869"/>
      <c r="B25" s="873"/>
      <c r="C25" s="873"/>
      <c r="D25" s="873"/>
      <c r="E25" s="867"/>
      <c r="F25" s="867"/>
      <c r="G25" s="867"/>
    </row>
    <row r="26" spans="1:7" s="797" customFormat="1" ht="15" customHeight="1">
      <c r="A26" s="859" t="s">
        <v>303</v>
      </c>
      <c r="B26" s="861"/>
      <c r="C26" s="861"/>
      <c r="D26" s="861"/>
      <c r="E26" s="874"/>
      <c r="F26" s="874"/>
      <c r="G26" s="867"/>
    </row>
    <row r="27" spans="1:7" s="797" customFormat="1" ht="15" customHeight="1">
      <c r="A27" s="869" t="s">
        <v>304</v>
      </c>
      <c r="B27" s="867">
        <v>0</v>
      </c>
      <c r="C27" s="867">
        <f>'Earned Incurred YTD-6'!B50</f>
        <v>8748.01</v>
      </c>
      <c r="D27" s="867">
        <v>0</v>
      </c>
      <c r="E27" s="867">
        <v>0</v>
      </c>
      <c r="F27" s="867">
        <v>0</v>
      </c>
      <c r="G27" s="867">
        <f>SUM(B27:F27)</f>
        <v>8748.01</v>
      </c>
    </row>
    <row r="28" spans="1:7" s="797" customFormat="1" ht="15" customHeight="1">
      <c r="A28" s="869" t="s">
        <v>305</v>
      </c>
      <c r="B28" s="867">
        <f>'Balance Sheet-1'!D15</f>
        <v>189837.39</v>
      </c>
      <c r="C28" s="867">
        <v>0</v>
      </c>
      <c r="D28" s="867">
        <v>0</v>
      </c>
      <c r="E28" s="867">
        <v>0</v>
      </c>
      <c r="F28" s="867">
        <v>0</v>
      </c>
      <c r="G28" s="867">
        <f>SUM(B28:F28)</f>
        <v>189837.39</v>
      </c>
    </row>
    <row r="29" spans="1:7" s="797" customFormat="1" ht="15" customHeight="1" thickBot="1">
      <c r="A29" s="869" t="s">
        <v>292</v>
      </c>
      <c r="B29" s="871">
        <f aca="true" t="shared" si="2" ref="B29:G29">SUM(B27:B28)</f>
        <v>189837.39</v>
      </c>
      <c r="C29" s="871">
        <f t="shared" si="2"/>
        <v>8748.01</v>
      </c>
      <c r="D29" s="871">
        <f t="shared" si="2"/>
        <v>0</v>
      </c>
      <c r="E29" s="871">
        <f t="shared" si="2"/>
        <v>0</v>
      </c>
      <c r="F29" s="871">
        <f t="shared" si="2"/>
        <v>0</v>
      </c>
      <c r="G29" s="872">
        <f t="shared" si="2"/>
        <v>198585.40000000002</v>
      </c>
    </row>
    <row r="30" spans="1:7" s="797" customFormat="1" ht="15" customHeight="1" thickTop="1">
      <c r="A30" s="869"/>
      <c r="B30" s="873"/>
      <c r="C30" s="873"/>
      <c r="D30" s="873"/>
      <c r="E30" s="867"/>
      <c r="F30" s="867"/>
      <c r="G30" s="867"/>
    </row>
    <row r="31" spans="1:7" s="797" customFormat="1" ht="15" customHeight="1">
      <c r="A31" s="859" t="s">
        <v>306</v>
      </c>
      <c r="B31" s="861"/>
      <c r="C31" s="861"/>
      <c r="D31" s="861"/>
      <c r="E31" s="874"/>
      <c r="F31" s="874"/>
      <c r="G31" s="867"/>
    </row>
    <row r="32" spans="1:7" s="797" customFormat="1" ht="15" customHeight="1">
      <c r="A32" s="869" t="s">
        <v>307</v>
      </c>
      <c r="B32" s="867">
        <f>'Earned Incurred YTD-6'!B49</f>
        <v>38063.41</v>
      </c>
      <c r="C32" s="873">
        <v>0</v>
      </c>
      <c r="D32" s="867">
        <v>0</v>
      </c>
      <c r="E32" s="867">
        <v>0</v>
      </c>
      <c r="F32" s="867">
        <v>0</v>
      </c>
      <c r="G32" s="867">
        <f>SUM(B32:F32)</f>
        <v>38063.41</v>
      </c>
    </row>
    <row r="33" spans="1:7" s="797" customFormat="1" ht="15" customHeight="1">
      <c r="A33" s="869" t="s">
        <v>308</v>
      </c>
      <c r="B33" s="873">
        <v>0</v>
      </c>
      <c r="C33" s="873">
        <f>'[14]Equity YTD-4'!$C$33+1</f>
        <v>234912.12000000002</v>
      </c>
      <c r="D33" s="867">
        <v>0</v>
      </c>
      <c r="E33" s="867">
        <v>0</v>
      </c>
      <c r="F33" s="867">
        <v>0</v>
      </c>
      <c r="G33" s="867">
        <f>SUM(B33:F33)</f>
        <v>234912.12000000002</v>
      </c>
    </row>
    <row r="34" spans="1:7" s="797" customFormat="1" ht="15" customHeight="1" thickBot="1">
      <c r="A34" s="869" t="s">
        <v>292</v>
      </c>
      <c r="B34" s="871">
        <f>SUM(B32:B33)</f>
        <v>38063.41</v>
      </c>
      <c r="C34" s="871">
        <f>SUM(C32:C33)</f>
        <v>234912.12000000002</v>
      </c>
      <c r="D34" s="871">
        <f>SUM(D32:D33)</f>
        <v>0</v>
      </c>
      <c r="E34" s="871">
        <f>SUM(E32:E33)</f>
        <v>0</v>
      </c>
      <c r="F34" s="871">
        <f>SUM(F32:F33)</f>
        <v>0</v>
      </c>
      <c r="G34" s="872">
        <f>SUM(G32:G33)-1</f>
        <v>272974.53</v>
      </c>
    </row>
    <row r="35" spans="1:7" s="797" customFormat="1" ht="15" customHeight="1" thickTop="1">
      <c r="A35" s="869"/>
      <c r="B35" s="873"/>
      <c r="C35" s="873"/>
      <c r="D35" s="873"/>
      <c r="E35" s="867"/>
      <c r="F35" s="867"/>
      <c r="G35" s="879"/>
    </row>
    <row r="36" spans="1:7" s="797" customFormat="1" ht="15" customHeight="1" thickBot="1">
      <c r="A36" s="859" t="s">
        <v>309</v>
      </c>
      <c r="B36" s="878">
        <f>B24-B29+B34</f>
        <v>12065187.21</v>
      </c>
      <c r="C36" s="878">
        <f>C24-C29+C34</f>
        <v>-7948183.679999999</v>
      </c>
      <c r="D36" s="878">
        <f>D24-D29+D34</f>
        <v>-2065604.77</v>
      </c>
      <c r="E36" s="878">
        <f>E24-E29+E34</f>
        <v>-3551.460000000001</v>
      </c>
      <c r="F36" s="878">
        <f>F24-F29+F34</f>
        <v>-114106.15</v>
      </c>
      <c r="G36" s="872">
        <f>SUM(B36:F36)-2</f>
        <v>1933739.1500000022</v>
      </c>
    </row>
    <row r="37" spans="1:7" s="797" customFormat="1" ht="15" customHeight="1" thickTop="1">
      <c r="A37" s="869"/>
      <c r="B37" s="873"/>
      <c r="C37" s="873"/>
      <c r="D37" s="873"/>
      <c r="E37" s="867"/>
      <c r="F37" s="867"/>
      <c r="G37" s="867"/>
    </row>
    <row r="38" spans="1:7" s="797" customFormat="1" ht="15" customHeight="1">
      <c r="A38" s="880" t="s">
        <v>101</v>
      </c>
      <c r="B38" s="881"/>
      <c r="C38" s="881"/>
      <c r="D38" s="881"/>
      <c r="E38" s="867"/>
      <c r="F38" s="867"/>
      <c r="G38" s="867"/>
    </row>
    <row r="39" spans="1:7" s="797" customFormat="1" ht="15" customHeight="1">
      <c r="A39" s="869" t="s">
        <v>267</v>
      </c>
      <c r="B39" s="867">
        <f>'Premiums YTD-8'!B17</f>
        <v>11391540</v>
      </c>
      <c r="C39" s="867">
        <f>'Premiums YTD-8'!C17</f>
        <v>648051</v>
      </c>
      <c r="D39" s="867">
        <f>'Premiums YTD-8'!D17</f>
        <v>0</v>
      </c>
      <c r="E39" s="867">
        <f>'Premiums YTD-8'!E17</f>
        <v>0</v>
      </c>
      <c r="F39" s="867">
        <f>'Premiums YTD-8'!F17</f>
        <v>0</v>
      </c>
      <c r="G39" s="867">
        <f>SUM(B39:F39)</f>
        <v>12039591</v>
      </c>
    </row>
    <row r="40" spans="1:7" s="797" customFormat="1" ht="15" customHeight="1">
      <c r="A40" s="869" t="s">
        <v>310</v>
      </c>
      <c r="B40" s="867">
        <f>'Losses Incurred YTD-10'!B19+'Losses Incurred YTD-10'!B25</f>
        <v>2363752.3</v>
      </c>
      <c r="C40" s="867">
        <f>'Losses Incurred YTD-10'!C19+'Losses Incurred YTD-10'!C25</f>
        <v>3652989.8200000003</v>
      </c>
      <c r="D40" s="867">
        <f>'Losses Incurred YTD-10'!D19+'Losses Incurred YTD-10'!D25</f>
        <v>151616.29</v>
      </c>
      <c r="E40" s="867">
        <f>'Losses Incurred YTD-10'!E19+'Losses Incurred YTD-10'!E25</f>
        <v>151114.69</v>
      </c>
      <c r="F40" s="867">
        <f>'Losses Incurred YTD-10'!F19+'Losses Incurred YTD-10'!F25</f>
        <v>67036.82</v>
      </c>
      <c r="G40" s="867">
        <f>SUM(B40:F40)</f>
        <v>6386509.920000001</v>
      </c>
    </row>
    <row r="41" spans="1:7" s="797" customFormat="1" ht="15" customHeight="1">
      <c r="A41" s="869" t="s">
        <v>311</v>
      </c>
      <c r="B41" s="867">
        <f>'Loss Expenses YTD-12'!B18</f>
        <v>501101.42000000004</v>
      </c>
      <c r="C41" s="867">
        <f>'Loss Expenses YTD-12'!C18</f>
        <v>120253.03</v>
      </c>
      <c r="D41" s="867">
        <f>'Loss Expenses YTD-12'!D18</f>
        <v>41677.18</v>
      </c>
      <c r="E41" s="867">
        <f>'Loss Expenses YTD-12'!E18</f>
        <v>10973.23</v>
      </c>
      <c r="F41" s="867">
        <f>'Loss Expenses YTD-12'!F18</f>
        <v>6091.65</v>
      </c>
      <c r="G41" s="867">
        <f>SUM(B41:F41)-1</f>
        <v>680095.5100000001</v>
      </c>
    </row>
    <row r="42" spans="1:7" s="797" customFormat="1" ht="15" customHeight="1">
      <c r="A42" s="869" t="s">
        <v>312</v>
      </c>
      <c r="B42" s="867">
        <f>'Earned Incurred YTD-6'!B41</f>
        <v>321210.28</v>
      </c>
      <c r="C42" s="873">
        <v>0</v>
      </c>
      <c r="D42" s="873">
        <v>0</v>
      </c>
      <c r="E42" s="873">
        <v>0</v>
      </c>
      <c r="F42" s="867">
        <v>0</v>
      </c>
      <c r="G42" s="867">
        <f>SUM(B42:F42)</f>
        <v>321210.28</v>
      </c>
    </row>
    <row r="43" spans="1:7" s="797" customFormat="1" ht="15" customHeight="1">
      <c r="A43" s="869" t="s">
        <v>313</v>
      </c>
      <c r="B43" s="867">
        <f>'Earned Incurred YTD-6'!B33</f>
        <v>41432.32</v>
      </c>
      <c r="C43" s="873">
        <v>0</v>
      </c>
      <c r="D43" s="867">
        <v>0</v>
      </c>
      <c r="E43" s="873">
        <v>0</v>
      </c>
      <c r="F43" s="867">
        <v>0</v>
      </c>
      <c r="G43" s="867">
        <f>SUM(B43:F43)</f>
        <v>41432.32</v>
      </c>
    </row>
    <row r="44" spans="1:7" s="797" customFormat="1" ht="15" customHeight="1" thickBot="1">
      <c r="A44" s="882" t="s">
        <v>292</v>
      </c>
      <c r="B44" s="871">
        <f>SUM(B39:B43)-1</f>
        <v>14619035.32</v>
      </c>
      <c r="C44" s="871">
        <f>SUM(C39:C43)</f>
        <v>4421293.850000001</v>
      </c>
      <c r="D44" s="871">
        <f>SUM(D39:D43)</f>
        <v>193293.47</v>
      </c>
      <c r="E44" s="871">
        <f>SUM(E39:E43)</f>
        <v>162087.92</v>
      </c>
      <c r="F44" s="871">
        <f>SUM(F39:F43)+1</f>
        <v>73129.47</v>
      </c>
      <c r="G44" s="872">
        <f>SUM(G39:G43)</f>
        <v>19468839.030000005</v>
      </c>
    </row>
    <row r="45" spans="1:7" s="797" customFormat="1" ht="15" customHeight="1" thickTop="1">
      <c r="A45" s="869"/>
      <c r="B45" s="873"/>
      <c r="C45" s="873"/>
      <c r="D45" s="873"/>
      <c r="E45" s="867"/>
      <c r="F45" s="867"/>
      <c r="G45" s="867"/>
    </row>
    <row r="46" spans="1:7" s="797" customFormat="1" ht="15" customHeight="1">
      <c r="A46" s="880" t="s">
        <v>102</v>
      </c>
      <c r="B46" s="881"/>
      <c r="C46" s="881"/>
      <c r="D46" s="881"/>
      <c r="E46" s="867"/>
      <c r="F46" s="867"/>
      <c r="G46" s="867"/>
    </row>
    <row r="47" spans="1:7" s="797" customFormat="1" ht="15" customHeight="1">
      <c r="A47" s="869" t="s">
        <v>267</v>
      </c>
      <c r="B47" s="867">
        <f>'Premiums YTD-8'!B23</f>
        <v>0</v>
      </c>
      <c r="C47" s="867">
        <f>'Premiums YTD-8'!C23</f>
        <v>10749487</v>
      </c>
      <c r="D47" s="867">
        <f>'Premiums YTD-8'!D23</f>
        <v>0</v>
      </c>
      <c r="E47" s="867">
        <f>'Premiums YTD-8'!E23</f>
        <v>0</v>
      </c>
      <c r="F47" s="867">
        <f>'Premiums YTD-8'!F23</f>
        <v>0</v>
      </c>
      <c r="G47" s="867">
        <f aca="true" t="shared" si="3" ref="G47:G52">SUM(B47:F47)</f>
        <v>10749487</v>
      </c>
    </row>
    <row r="48" spans="1:7" s="797" customFormat="1" ht="15" customHeight="1">
      <c r="A48" s="869" t="s">
        <v>310</v>
      </c>
      <c r="B48" s="867">
        <f>'Losses Incurred YTD-10'!B32</f>
        <v>0</v>
      </c>
      <c r="C48" s="867">
        <f>'Losses Incurred YTD-10'!C32</f>
        <v>5008777</v>
      </c>
      <c r="D48" s="867">
        <f>'Losses Incurred YTD-10'!D32</f>
        <v>1978508.76</v>
      </c>
      <c r="E48" s="867">
        <f>'Losses Incurred YTD-10'!E32</f>
        <v>94531</v>
      </c>
      <c r="F48" s="867">
        <f>'Losses Incurred YTD-10'!F32</f>
        <v>158729</v>
      </c>
      <c r="G48" s="867">
        <f t="shared" si="3"/>
        <v>7240545.76</v>
      </c>
    </row>
    <row r="49" spans="1:7" s="797" customFormat="1" ht="15" customHeight="1">
      <c r="A49" s="869" t="s">
        <v>314</v>
      </c>
      <c r="B49" s="867">
        <f>'Loss Expenses YTD-12'!B24</f>
        <v>0</v>
      </c>
      <c r="C49" s="867">
        <f>'Loss Expenses YTD-12'!C24</f>
        <v>434423.23000000004</v>
      </c>
      <c r="D49" s="867">
        <f>'Loss Expenses YTD-12'!D24</f>
        <v>250677.06</v>
      </c>
      <c r="E49" s="867">
        <f>'Loss Expenses YTD-12'!E24</f>
        <v>11977.17</v>
      </c>
      <c r="F49" s="867">
        <f>'Loss Expenses YTD-12'!F24</f>
        <v>20110.96</v>
      </c>
      <c r="G49" s="867">
        <f t="shared" si="3"/>
        <v>717188.42</v>
      </c>
    </row>
    <row r="50" spans="1:7" s="797" customFormat="1" ht="15" customHeight="1">
      <c r="A50" s="869" t="s">
        <v>312</v>
      </c>
      <c r="B50" s="867">
        <v>0</v>
      </c>
      <c r="C50" s="867">
        <f>'Earned Incurred YTD-6'!B42</f>
        <v>293447.56</v>
      </c>
      <c r="D50" s="873">
        <v>0</v>
      </c>
      <c r="E50" s="873">
        <v>0</v>
      </c>
      <c r="F50" s="867">
        <v>0</v>
      </c>
      <c r="G50" s="867">
        <f t="shared" si="3"/>
        <v>293447.56</v>
      </c>
    </row>
    <row r="51" spans="1:7" s="797" customFormat="1" ht="15" customHeight="1">
      <c r="A51" s="869" t="s">
        <v>313</v>
      </c>
      <c r="B51" s="867">
        <v>0</v>
      </c>
      <c r="C51" s="867">
        <f>'Earned Incurred YTD-6'!B34</f>
        <v>61134.57</v>
      </c>
      <c r="D51" s="867">
        <v>0</v>
      </c>
      <c r="E51" s="873">
        <v>0</v>
      </c>
      <c r="F51" s="867">
        <v>0</v>
      </c>
      <c r="G51" s="867">
        <f t="shared" si="3"/>
        <v>61134.57</v>
      </c>
    </row>
    <row r="52" spans="1:7" s="797" customFormat="1" ht="15" customHeight="1" thickBot="1">
      <c r="A52" s="869" t="s">
        <v>292</v>
      </c>
      <c r="B52" s="871">
        <f>SUM(B47:B51)</f>
        <v>0</v>
      </c>
      <c r="C52" s="871">
        <f>SUM(C47:C51)+1</f>
        <v>16547270.360000001</v>
      </c>
      <c r="D52" s="871">
        <f>SUM(D47:D51)</f>
        <v>2229185.82</v>
      </c>
      <c r="E52" s="871">
        <f>SUM(E47:E51)</f>
        <v>106508.17</v>
      </c>
      <c r="F52" s="871">
        <f>SUM(F47:F51)</f>
        <v>178839.96</v>
      </c>
      <c r="G52" s="872">
        <f t="shared" si="3"/>
        <v>19061804.310000002</v>
      </c>
    </row>
    <row r="53" spans="1:7" s="797" customFormat="1" ht="15" customHeight="1" thickTop="1">
      <c r="A53" s="869"/>
      <c r="B53" s="873"/>
      <c r="C53" s="873"/>
      <c r="D53" s="873"/>
      <c r="E53" s="873"/>
      <c r="F53" s="873"/>
      <c r="G53" s="488"/>
    </row>
    <row r="54" spans="1:8" s="797" customFormat="1" ht="15" customHeight="1" thickBot="1">
      <c r="A54" s="877" t="s">
        <v>315</v>
      </c>
      <c r="B54" s="883">
        <f>B36-B44+B52</f>
        <v>-2553848.1099999994</v>
      </c>
      <c r="C54" s="883">
        <f>C36-C44+C52-1</f>
        <v>4177791.830000002</v>
      </c>
      <c r="D54" s="883">
        <f>D36-D44+D52</f>
        <v>-29712.42000000039</v>
      </c>
      <c r="E54" s="883">
        <f>E36-E44+E52</f>
        <v>-59131.21000000001</v>
      </c>
      <c r="F54" s="883">
        <f>F36-F44+F52+1</f>
        <v>-8394.660000000003</v>
      </c>
      <c r="G54" s="883">
        <f>G36-G44+G52</f>
        <v>1526704.4299999997</v>
      </c>
      <c r="H54" s="801"/>
    </row>
    <row r="55" spans="1:8" s="797" customFormat="1" ht="15" customHeight="1" thickTop="1">
      <c r="A55" s="800"/>
      <c r="B55" s="801"/>
      <c r="C55" s="801"/>
      <c r="D55" s="832"/>
      <c r="E55" s="832"/>
      <c r="F55" s="832"/>
      <c r="G55" s="796"/>
      <c r="H55" s="801"/>
    </row>
    <row r="56" spans="1:7" s="797" customFormat="1" ht="15" customHeight="1">
      <c r="A56" s="800"/>
      <c r="B56" s="801"/>
      <c r="C56" s="801"/>
      <c r="D56" s="832"/>
      <c r="E56" s="832"/>
      <c r="F56" s="832"/>
      <c r="G56" s="796"/>
    </row>
    <row r="57" spans="1:7" s="797" customFormat="1" ht="15" customHeight="1">
      <c r="A57" s="800"/>
      <c r="B57" s="801"/>
      <c r="C57" s="801"/>
      <c r="D57" s="832"/>
      <c r="E57" s="832"/>
      <c r="F57" s="832"/>
      <c r="G57" s="832"/>
    </row>
    <row r="58" spans="2:7" s="797" customFormat="1" ht="15" customHeight="1">
      <c r="B58" s="801"/>
      <c r="C58" s="801"/>
      <c r="D58" s="832"/>
      <c r="E58" s="832"/>
      <c r="F58" s="832"/>
      <c r="G58" s="832"/>
    </row>
    <row r="59" spans="2:7" s="797" customFormat="1" ht="15" customHeight="1">
      <c r="B59" s="801"/>
      <c r="C59" s="801"/>
      <c r="D59" s="832"/>
      <c r="E59" s="832"/>
      <c r="F59" s="832"/>
      <c r="G59" s="832"/>
    </row>
    <row r="60" spans="2:7" s="797" customFormat="1" ht="15" customHeight="1">
      <c r="B60" s="801"/>
      <c r="C60" s="801"/>
      <c r="D60" s="832"/>
      <c r="E60" s="832"/>
      <c r="F60" s="832"/>
      <c r="G60" s="832"/>
    </row>
    <row r="61" spans="1:7" s="797" customFormat="1" ht="15" customHeight="1">
      <c r="A61" s="799"/>
      <c r="B61" s="833"/>
      <c r="C61" s="833"/>
      <c r="D61" s="832"/>
      <c r="E61" s="832"/>
      <c r="F61" s="832"/>
      <c r="G61" s="832"/>
    </row>
    <row r="62" spans="2:7" s="797" customFormat="1" ht="15" customHeight="1">
      <c r="B62" s="801"/>
      <c r="C62" s="801"/>
      <c r="D62" s="832"/>
      <c r="E62" s="832"/>
      <c r="F62" s="832"/>
      <c r="G62" s="796"/>
    </row>
    <row r="63" spans="2:7" s="797" customFormat="1" ht="15" customHeight="1">
      <c r="B63" s="801"/>
      <c r="C63" s="801"/>
      <c r="D63" s="832"/>
      <c r="E63" s="832"/>
      <c r="F63" s="832"/>
      <c r="G63" s="796"/>
    </row>
    <row r="64" spans="2:7" s="797" customFormat="1" ht="15" customHeight="1">
      <c r="B64" s="801"/>
      <c r="C64" s="801"/>
      <c r="D64" s="832"/>
      <c r="E64" s="832"/>
      <c r="F64" s="832"/>
      <c r="G64" s="796"/>
    </row>
    <row r="65" spans="2:7" s="797" customFormat="1" ht="15" customHeight="1">
      <c r="B65" s="801"/>
      <c r="C65" s="801"/>
      <c r="D65" s="832"/>
      <c r="E65" s="832"/>
      <c r="F65" s="832"/>
      <c r="G65" s="796"/>
    </row>
    <row r="66" spans="2:7" s="797" customFormat="1" ht="15" customHeight="1">
      <c r="B66" s="801"/>
      <c r="C66" s="801"/>
      <c r="D66" s="832"/>
      <c r="E66" s="832"/>
      <c r="F66" s="832"/>
      <c r="G66" s="796"/>
    </row>
    <row r="67" spans="2:7" s="797" customFormat="1" ht="15" customHeight="1">
      <c r="B67" s="801"/>
      <c r="C67" s="801"/>
      <c r="D67" s="832"/>
      <c r="E67" s="832"/>
      <c r="F67" s="832"/>
      <c r="G67" s="796"/>
    </row>
    <row r="68" spans="2:7" s="797" customFormat="1" ht="15" customHeight="1">
      <c r="B68" s="801"/>
      <c r="C68" s="801"/>
      <c r="D68" s="832"/>
      <c r="E68" s="832"/>
      <c r="F68" s="832"/>
      <c r="G68" s="796"/>
    </row>
    <row r="69" spans="2:7" s="797" customFormat="1" ht="15" customHeight="1">
      <c r="B69" s="801"/>
      <c r="C69" s="801"/>
      <c r="D69" s="832"/>
      <c r="E69" s="832"/>
      <c r="F69" s="832"/>
      <c r="G69" s="796"/>
    </row>
    <row r="70" spans="2:7" s="797" customFormat="1" ht="15" customHeight="1">
      <c r="B70" s="801"/>
      <c r="C70" s="801"/>
      <c r="D70" s="832"/>
      <c r="E70" s="832"/>
      <c r="F70" s="832"/>
      <c r="G70" s="796"/>
    </row>
    <row r="71" spans="2:7" s="797" customFormat="1" ht="15" customHeight="1">
      <c r="B71" s="801"/>
      <c r="C71" s="801"/>
      <c r="D71" s="832"/>
      <c r="E71" s="832"/>
      <c r="F71" s="832"/>
      <c r="G71" s="796"/>
    </row>
    <row r="72" spans="2:7" s="797" customFormat="1" ht="15" customHeight="1">
      <c r="B72" s="801"/>
      <c r="C72" s="801"/>
      <c r="D72" s="832"/>
      <c r="E72" s="832"/>
      <c r="F72" s="832"/>
      <c r="G72" s="796"/>
    </row>
    <row r="73" spans="2:7" s="797" customFormat="1" ht="15" customHeight="1">
      <c r="B73" s="801"/>
      <c r="C73" s="801"/>
      <c r="D73" s="832"/>
      <c r="E73" s="832"/>
      <c r="F73" s="832"/>
      <c r="G73" s="796"/>
    </row>
    <row r="74" spans="2:7" s="797" customFormat="1" ht="15" customHeight="1">
      <c r="B74" s="801"/>
      <c r="C74" s="801"/>
      <c r="D74" s="832"/>
      <c r="E74" s="832"/>
      <c r="F74" s="832"/>
      <c r="G74" s="796"/>
    </row>
    <row r="75" spans="2:7" s="797" customFormat="1" ht="15" customHeight="1">
      <c r="B75" s="801"/>
      <c r="C75" s="801"/>
      <c r="D75" s="832"/>
      <c r="E75" s="832"/>
      <c r="F75" s="832"/>
      <c r="G75" s="796"/>
    </row>
    <row r="76" spans="2:7" s="797" customFormat="1" ht="15" customHeight="1">
      <c r="B76" s="801"/>
      <c r="C76" s="801"/>
      <c r="D76" s="832"/>
      <c r="E76" s="832"/>
      <c r="F76" s="832"/>
      <c r="G76" s="796"/>
    </row>
    <row r="77" spans="2:7" s="797" customFormat="1" ht="15" customHeight="1">
      <c r="B77" s="801"/>
      <c r="C77" s="801"/>
      <c r="D77" s="832"/>
      <c r="E77" s="832"/>
      <c r="F77" s="832"/>
      <c r="G77" s="796"/>
    </row>
    <row r="78" spans="2:7" s="797" customFormat="1" ht="15" customHeight="1">
      <c r="B78" s="801"/>
      <c r="C78" s="801"/>
      <c r="D78" s="832"/>
      <c r="E78" s="832"/>
      <c r="F78" s="832"/>
      <c r="G78" s="796"/>
    </row>
    <row r="79" spans="2:7" s="797" customFormat="1" ht="15" customHeight="1">
      <c r="B79" s="801"/>
      <c r="C79" s="801"/>
      <c r="D79" s="832"/>
      <c r="E79" s="832"/>
      <c r="F79" s="832"/>
      <c r="G79" s="796"/>
    </row>
    <row r="80" spans="2:7" s="797" customFormat="1" ht="15" customHeight="1">
      <c r="B80" s="801"/>
      <c r="C80" s="801"/>
      <c r="D80" s="832"/>
      <c r="E80" s="832"/>
      <c r="F80" s="832"/>
      <c r="G80" s="796"/>
    </row>
    <row r="81" spans="2:7" s="797" customFormat="1" ht="15" customHeight="1">
      <c r="B81" s="801"/>
      <c r="C81" s="801"/>
      <c r="D81" s="832"/>
      <c r="E81" s="832"/>
      <c r="F81" s="832"/>
      <c r="G81" s="796"/>
    </row>
    <row r="82" spans="2:7" s="797" customFormat="1" ht="15" customHeight="1">
      <c r="B82" s="801"/>
      <c r="C82" s="801"/>
      <c r="D82" s="832"/>
      <c r="E82" s="832"/>
      <c r="F82" s="832"/>
      <c r="G82" s="796"/>
    </row>
    <row r="83" spans="2:7" s="797" customFormat="1" ht="15" customHeight="1">
      <c r="B83" s="801"/>
      <c r="C83" s="801"/>
      <c r="D83" s="832"/>
      <c r="E83" s="832"/>
      <c r="F83" s="832"/>
      <c r="G83" s="796"/>
    </row>
    <row r="84" spans="2:7" s="797" customFormat="1" ht="15" customHeight="1">
      <c r="B84" s="801"/>
      <c r="C84" s="801"/>
      <c r="D84" s="832"/>
      <c r="E84" s="832"/>
      <c r="F84" s="832"/>
      <c r="G84" s="796"/>
    </row>
    <row r="85" spans="2:7" s="797" customFormat="1" ht="15" customHeight="1">
      <c r="B85" s="801"/>
      <c r="C85" s="801"/>
      <c r="D85" s="832"/>
      <c r="E85" s="832"/>
      <c r="F85" s="832"/>
      <c r="G85" s="796"/>
    </row>
    <row r="86" spans="2:7" s="797" customFormat="1" ht="15" customHeight="1">
      <c r="B86" s="801"/>
      <c r="C86" s="801"/>
      <c r="D86" s="832"/>
      <c r="E86" s="832"/>
      <c r="F86" s="832"/>
      <c r="G86" s="796"/>
    </row>
    <row r="87" spans="2:7" s="797" customFormat="1" ht="15" customHeight="1">
      <c r="B87" s="801"/>
      <c r="C87" s="801"/>
      <c r="D87" s="832"/>
      <c r="E87" s="832"/>
      <c r="F87" s="832"/>
      <c r="G87" s="796"/>
    </row>
    <row r="88" spans="2:7" s="797" customFormat="1" ht="15" customHeight="1">
      <c r="B88" s="801"/>
      <c r="C88" s="801"/>
      <c r="D88" s="832"/>
      <c r="E88" s="832"/>
      <c r="F88" s="832"/>
      <c r="G88" s="796"/>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8.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4" t="s">
        <v>254</v>
      </c>
      <c r="B1" s="974"/>
      <c r="C1" s="974"/>
      <c r="D1" s="974"/>
      <c r="E1" s="974"/>
      <c r="F1" s="974"/>
      <c r="G1" s="974"/>
      <c r="H1" s="241"/>
    </row>
    <row r="2" spans="1:8" s="27" customFormat="1" ht="18.75">
      <c r="A2" s="975"/>
      <c r="B2" s="975"/>
      <c r="C2" s="975"/>
      <c r="D2" s="975"/>
      <c r="E2" s="975"/>
      <c r="F2" s="975"/>
      <c r="G2" s="975"/>
      <c r="H2" s="1"/>
    </row>
    <row r="3" spans="1:8" s="29" customFormat="1" ht="18.75">
      <c r="A3" s="976" t="s">
        <v>287</v>
      </c>
      <c r="B3" s="976"/>
      <c r="C3" s="976"/>
      <c r="D3" s="976"/>
      <c r="E3" s="976"/>
      <c r="F3" s="976"/>
      <c r="G3" s="976"/>
      <c r="H3" s="28"/>
    </row>
    <row r="4" spans="1:8" s="29" customFormat="1" ht="18.75">
      <c r="A4" s="976" t="s">
        <v>11</v>
      </c>
      <c r="B4" s="976"/>
      <c r="C4" s="976"/>
      <c r="D4" s="976"/>
      <c r="E4" s="976"/>
      <c r="F4" s="976"/>
      <c r="G4" s="976"/>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42</v>
      </c>
      <c r="C7" s="394" t="s">
        <v>46</v>
      </c>
      <c r="D7" s="394" t="s">
        <v>143</v>
      </c>
      <c r="E7" s="394" t="s">
        <v>216</v>
      </c>
      <c r="F7" s="394" t="s">
        <v>98</v>
      </c>
      <c r="G7" s="394" t="s">
        <v>255</v>
      </c>
      <c r="H7" s="384"/>
      <c r="I7" s="32" t="s">
        <v>132</v>
      </c>
    </row>
    <row r="8" spans="1:8" s="34" customFormat="1" ht="12.75">
      <c r="A8" s="395" t="s">
        <v>289</v>
      </c>
      <c r="B8" s="396"/>
      <c r="C8" s="396"/>
      <c r="D8" s="396"/>
      <c r="E8" s="396"/>
      <c r="F8" s="396"/>
      <c r="G8" s="397"/>
      <c r="H8" s="33"/>
    </row>
    <row r="9" spans="1:9" ht="12.75">
      <c r="A9" s="398" t="s">
        <v>290</v>
      </c>
      <c r="B9" s="508">
        <f>'(7)Premiums YTD8'!B12</f>
        <v>118640</v>
      </c>
      <c r="C9" s="508">
        <f>'(7)Premiums YTD8'!C12</f>
        <v>-4078</v>
      </c>
      <c r="D9" s="508">
        <f>'(7)Premiums YTD8'!D12</f>
        <v>0</v>
      </c>
      <c r="E9" s="508" t="e">
        <f>'(7)Premiums YTD8'!E12</f>
        <v>#REF!</v>
      </c>
      <c r="F9" s="575" t="e">
        <f>'(7)Premiums YTD8'!F12</f>
        <v>#REF!</v>
      </c>
      <c r="G9" s="509" t="e">
        <f>SUM(B9:F9)</f>
        <v>#REF!</v>
      </c>
      <c r="H9" s="35" t="e">
        <f>SUM(G9)</f>
        <v>#REF!</v>
      </c>
      <c r="I9" s="31">
        <v>8</v>
      </c>
    </row>
    <row r="10" spans="1:9" ht="12.75">
      <c r="A10" s="398" t="s">
        <v>291</v>
      </c>
      <c r="B10" s="497">
        <f>'(8)Earned Incurred YTD6'!C48</f>
        <v>44581.64</v>
      </c>
      <c r="C10" s="497">
        <f>'(8)Earned Incurred YTD6'!D48</f>
        <v>0</v>
      </c>
      <c r="D10" s="497">
        <v>0</v>
      </c>
      <c r="E10" s="497">
        <v>0</v>
      </c>
      <c r="F10" s="497">
        <v>0</v>
      </c>
      <c r="G10" s="498">
        <f>SUM(B10:F10)</f>
        <v>44581.64</v>
      </c>
      <c r="H10" s="36">
        <f>+'(8)Earned Incurred YTD6'!C48</f>
        <v>44581.64</v>
      </c>
      <c r="I10" s="31">
        <v>6</v>
      </c>
    </row>
    <row r="11" spans="1:8" ht="12.75">
      <c r="A11" s="356" t="s">
        <v>292</v>
      </c>
      <c r="B11" s="499">
        <f aca="true" t="shared" si="0" ref="B11:G11">SUM(B9:B10)</f>
        <v>163221.64</v>
      </c>
      <c r="C11" s="499">
        <f t="shared" si="0"/>
        <v>-4078</v>
      </c>
      <c r="D11" s="499">
        <f t="shared" si="0"/>
        <v>0</v>
      </c>
      <c r="E11" s="499" t="e">
        <f t="shared" si="0"/>
        <v>#REF!</v>
      </c>
      <c r="F11" s="499" t="e">
        <f t="shared" si="0"/>
        <v>#REF!</v>
      </c>
      <c r="G11" s="500" t="e">
        <f t="shared" si="0"/>
        <v>#REF!</v>
      </c>
      <c r="H11" s="39"/>
    </row>
    <row r="12" spans="1:8" ht="12.75">
      <c r="A12" s="356"/>
      <c r="B12" s="497"/>
      <c r="C12" s="497"/>
      <c r="D12" s="497"/>
      <c r="E12" s="497"/>
      <c r="F12" s="497"/>
      <c r="G12" s="497"/>
      <c r="H12" s="37"/>
    </row>
    <row r="13" spans="1:8" ht="12.75">
      <c r="A13" s="395" t="s">
        <v>293</v>
      </c>
      <c r="B13" s="504"/>
      <c r="C13" s="504"/>
      <c r="D13" s="504"/>
      <c r="E13" s="504"/>
      <c r="F13" s="504"/>
      <c r="G13" s="497"/>
      <c r="H13" s="37"/>
    </row>
    <row r="14" spans="1:10" ht="12.75">
      <c r="A14" s="356" t="s">
        <v>294</v>
      </c>
      <c r="B14" s="497">
        <f>+'(6)Losses Incurred YTD10'!B12</f>
        <v>2255791.24</v>
      </c>
      <c r="C14" s="497" t="e">
        <f>+'(6)Losses Incurred YTD10'!C12</f>
        <v>#REF!</v>
      </c>
      <c r="D14" s="497" t="e">
        <f>+'(6)Losses Incurred YTD10'!D12</f>
        <v>#REF!</v>
      </c>
      <c r="E14" s="497">
        <f>+'(6)Losses Incurred YTD10'!E12</f>
        <v>59250</v>
      </c>
      <c r="F14" s="497" t="e">
        <f>'(6)Losses Incurred YTD10'!F12</f>
        <v>#REF!</v>
      </c>
      <c r="G14" s="501" t="e">
        <f>SUM(B14:F14)-1</f>
        <v>#REF!</v>
      </c>
      <c r="H14" s="36" t="e">
        <f>+'(6)Losses Incurred YTD10'!H12</f>
        <v>#REF!</v>
      </c>
      <c r="I14" s="31">
        <v>10</v>
      </c>
      <c r="J14" s="116" t="e">
        <f>+G14-H14</f>
        <v>#REF!</v>
      </c>
    </row>
    <row r="15" spans="1:9" ht="12.75">
      <c r="A15" s="356" t="s">
        <v>295</v>
      </c>
      <c r="B15" s="497">
        <f>+'(1)ULEP-YTD17'!B44</f>
        <v>210128.8</v>
      </c>
      <c r="C15" s="497">
        <f>+'(1)ULEP-YTD17'!B38</f>
        <v>77522.81</v>
      </c>
      <c r="D15" s="497">
        <f>+'(1)ULEP-YTD17'!B32</f>
        <v>982.14</v>
      </c>
      <c r="E15" s="497">
        <f>+'(1)ULEP-YTD17'!B26</f>
        <v>605.69</v>
      </c>
      <c r="F15" s="497" t="e">
        <f>+'(1)ULEP-YTD17'!B20</f>
        <v>#REF!</v>
      </c>
      <c r="G15" s="501" t="e">
        <f aca="true" t="shared" si="1" ref="G15:G22">SUM(B15:F15)</f>
        <v>#REF!</v>
      </c>
      <c r="H15" s="36" t="e">
        <f>+'(1)ULEP-YTD17'!G49</f>
        <v>#REF!</v>
      </c>
      <c r="I15" s="31">
        <v>17</v>
      </c>
    </row>
    <row r="16" spans="1:9" ht="12.75">
      <c r="A16" s="356" t="s">
        <v>296</v>
      </c>
      <c r="B16" s="497">
        <f>+'(1)ULEP-YTD17'!F44</f>
        <v>84007.43000000001</v>
      </c>
      <c r="C16" s="497">
        <f>+'(1)ULEP-YTD17'!F38</f>
        <v>53685.96</v>
      </c>
      <c r="D16" s="497">
        <f>+'(1)ULEP-YTD17'!F32</f>
        <v>1103.4799999999998</v>
      </c>
      <c r="E16" s="497">
        <f>+'(1)ULEP-YTD17'!F26</f>
        <v>2206.52</v>
      </c>
      <c r="F16" s="497" t="e">
        <f>+'(1)ULEP-YTD17'!F20</f>
        <v>#REF!</v>
      </c>
      <c r="G16" s="501" t="e">
        <f t="shared" si="1"/>
        <v>#REF!</v>
      </c>
      <c r="H16" s="36" t="e">
        <f>+G16+G15</f>
        <v>#REF!</v>
      </c>
      <c r="I16" s="31">
        <v>17</v>
      </c>
    </row>
    <row r="17" spans="1:9" ht="12.75">
      <c r="A17" s="356" t="s">
        <v>297</v>
      </c>
      <c r="B17" s="497">
        <f>+'[1]TB03-31-04(Final)'!G635</f>
        <v>12016.59</v>
      </c>
      <c r="C17" s="497">
        <v>0</v>
      </c>
      <c r="D17" s="497">
        <v>0</v>
      </c>
      <c r="E17" s="497">
        <v>0</v>
      </c>
      <c r="F17" s="348">
        <v>0</v>
      </c>
      <c r="G17" s="501">
        <f t="shared" si="1"/>
        <v>12016.59</v>
      </c>
      <c r="H17" s="358">
        <f>+'(8)Earned Incurred YTD6'!C38</f>
        <v>108491.93</v>
      </c>
      <c r="I17" s="38">
        <v>62000</v>
      </c>
    </row>
    <row r="18" spans="1:10" ht="12.75">
      <c r="A18" s="400" t="s">
        <v>298</v>
      </c>
      <c r="B18" s="497">
        <f>+'[1]TB03-31-04(Final)'!G647</f>
        <v>92969.09</v>
      </c>
      <c r="C18" s="497">
        <v>0</v>
      </c>
      <c r="D18" s="497">
        <v>0</v>
      </c>
      <c r="E18" s="497">
        <v>0</v>
      </c>
      <c r="F18" s="497">
        <v>0</v>
      </c>
      <c r="G18" s="501">
        <f t="shared" si="1"/>
        <v>92969.09</v>
      </c>
      <c r="H18" s="36">
        <f>+G17+G18+G20</f>
        <v>108491.93</v>
      </c>
      <c r="I18" s="38">
        <v>65000</v>
      </c>
      <c r="J18" s="116">
        <f>+H17-H18</f>
        <v>0</v>
      </c>
    </row>
    <row r="19" spans="1:10" ht="12.75">
      <c r="A19" s="400" t="s">
        <v>299</v>
      </c>
      <c r="B19" s="348" t="e">
        <f>+'(8)Earned Incurred YTD6'!D37-C19-D19-E19</f>
        <v>#REF!</v>
      </c>
      <c r="C19" s="348">
        <f>+'[1]TB03-31-04(Final)'!F626+'[1]TB03-31-04(Final)'!F620+'[1]TB03-31-04(Final)'!F612+'[1]TB03-31-04(Final)'!F603+'[1]TB03-31-04(Final)'!F595+'[1]TB03-31-04(Final)'!F586</f>
        <v>-369.1</v>
      </c>
      <c r="D19" s="497">
        <f>+'[1]TB03-31-04(Final)'!G585</f>
        <v>0</v>
      </c>
      <c r="E19" s="497" t="e">
        <f>+'[1]TB03-31-04(Final)'!F584+'[1]TB03-31-04(Final)'!F593+'[1]TB03-31-04(Final)'!F601-'[1]TB03-31-04(Final)'!F610</f>
        <v>#REF!</v>
      </c>
      <c r="F19" s="608">
        <v>0</v>
      </c>
      <c r="G19" s="501" t="e">
        <f>SUM(B19:F19)</f>
        <v>#REF!</v>
      </c>
      <c r="H19" s="36">
        <f>+'[1]TB03-31-04(Final)'!G630</f>
        <v>528557.35</v>
      </c>
      <c r="I19" s="31" t="s">
        <v>133</v>
      </c>
      <c r="J19" s="116" t="e">
        <f>+G19-H19</f>
        <v>#REF!</v>
      </c>
    </row>
    <row r="20" spans="1:9" ht="12.75">
      <c r="A20" s="356" t="s">
        <v>300</v>
      </c>
      <c r="B20" s="497">
        <f>+'[1]TB03-31-04(Final)'!G639</f>
        <v>3506.25</v>
      </c>
      <c r="C20" s="497">
        <v>0</v>
      </c>
      <c r="D20" s="497">
        <v>0</v>
      </c>
      <c r="E20" s="497">
        <v>0</v>
      </c>
      <c r="F20" s="348">
        <v>0</v>
      </c>
      <c r="G20" s="501">
        <f t="shared" si="1"/>
        <v>3506.25</v>
      </c>
      <c r="H20" s="358">
        <f>+G20+G18+G17</f>
        <v>108491.93</v>
      </c>
      <c r="I20" s="38">
        <v>63000</v>
      </c>
    </row>
    <row r="21" spans="1:10" ht="12.75">
      <c r="A21" s="356" t="s">
        <v>301</v>
      </c>
      <c r="B21" s="497">
        <f>+'(8)Earned Incurred YTD6'!C39</f>
        <v>995251.8099999997</v>
      </c>
      <c r="C21" s="497">
        <f>+'(8)Earned Incurred YTD6'!D39</f>
        <v>0</v>
      </c>
      <c r="D21" s="497">
        <v>0</v>
      </c>
      <c r="E21" s="497">
        <v>0</v>
      </c>
      <c r="F21" s="348">
        <v>0</v>
      </c>
      <c r="G21" s="501">
        <f t="shared" si="1"/>
        <v>995251.8099999997</v>
      </c>
      <c r="H21" s="36"/>
      <c r="I21" s="31">
        <v>5</v>
      </c>
      <c r="J21" s="357">
        <f>+G21-H21</f>
        <v>995251.8099999997</v>
      </c>
    </row>
    <row r="22" spans="1:9" ht="12.75">
      <c r="A22" s="356" t="s">
        <v>268</v>
      </c>
      <c r="B22" s="497">
        <f>23108.63+20347.1+10350+600</f>
        <v>54405.729999999996</v>
      </c>
      <c r="C22" s="497">
        <f>20700+6478.27+1200</f>
        <v>28378.27</v>
      </c>
      <c r="D22" s="497">
        <v>0</v>
      </c>
      <c r="E22" s="502">
        <v>0</v>
      </c>
      <c r="F22" s="348">
        <v>0</v>
      </c>
      <c r="G22" s="501">
        <f t="shared" si="1"/>
        <v>82784</v>
      </c>
      <c r="H22" s="37">
        <f>+'(8)Earned Incurred YTD6'!C31</f>
        <v>82784</v>
      </c>
      <c r="I22" s="31">
        <v>6</v>
      </c>
    </row>
    <row r="23" spans="1:8" ht="12.75">
      <c r="A23" s="356" t="s">
        <v>292</v>
      </c>
      <c r="B23" s="499" t="e">
        <f aca="true" t="shared" si="2" ref="B23:G23">SUM(B14:B22)</f>
        <v>#REF!</v>
      </c>
      <c r="C23" s="499" t="e">
        <f t="shared" si="2"/>
        <v>#REF!</v>
      </c>
      <c r="D23" s="499" t="e">
        <f t="shared" si="2"/>
        <v>#REF!</v>
      </c>
      <c r="E23" s="499" t="e">
        <f t="shared" si="2"/>
        <v>#REF!</v>
      </c>
      <c r="F23" s="499" t="e">
        <f>SUM(F14:F22)</f>
        <v>#REF!</v>
      </c>
      <c r="G23" s="500" t="e">
        <f t="shared" si="2"/>
        <v>#REF!</v>
      </c>
      <c r="H23" s="143" t="e">
        <f>SUM(G14:G22)</f>
        <v>#REF!</v>
      </c>
    </row>
    <row r="24" spans="1:8" ht="12.75">
      <c r="A24" s="356"/>
      <c r="B24" s="497"/>
      <c r="C24" s="497"/>
      <c r="D24" s="497"/>
      <c r="E24" s="497"/>
      <c r="F24" s="497"/>
      <c r="G24" s="497"/>
      <c r="H24" s="37"/>
    </row>
    <row r="25" spans="1:8" ht="12.75">
      <c r="A25" s="401" t="s">
        <v>302</v>
      </c>
      <c r="B25" s="503" t="e">
        <f aca="true" t="shared" si="3" ref="B25:G25">B11-B23</f>
        <v>#REF!</v>
      </c>
      <c r="C25" s="503" t="e">
        <f>C11-C23</f>
        <v>#REF!</v>
      </c>
      <c r="D25" s="503" t="e">
        <f t="shared" si="3"/>
        <v>#REF!</v>
      </c>
      <c r="E25" s="503" t="e">
        <f t="shared" si="3"/>
        <v>#REF!</v>
      </c>
      <c r="F25" s="503" t="e">
        <f t="shared" si="3"/>
        <v>#REF!</v>
      </c>
      <c r="G25" s="500" t="e">
        <f t="shared" si="3"/>
        <v>#REF!</v>
      </c>
      <c r="H25" s="143"/>
    </row>
    <row r="26" spans="1:8" ht="16.5" customHeight="1">
      <c r="A26" s="356"/>
      <c r="B26" s="497"/>
      <c r="C26" s="497"/>
      <c r="D26" s="497"/>
      <c r="E26" s="497"/>
      <c r="F26" s="497"/>
      <c r="G26" s="497"/>
      <c r="H26" s="37"/>
    </row>
    <row r="27" spans="1:8" ht="12.75">
      <c r="A27" s="395" t="s">
        <v>303</v>
      </c>
      <c r="B27" s="504"/>
      <c r="C27" s="504"/>
      <c r="D27" s="504"/>
      <c r="E27" s="504"/>
      <c r="F27" s="504"/>
      <c r="G27" s="497"/>
      <c r="H27" s="37"/>
    </row>
    <row r="28" spans="1:8" ht="12.75">
      <c r="A28" s="356" t="s">
        <v>304</v>
      </c>
      <c r="B28" s="497">
        <v>0</v>
      </c>
      <c r="C28" s="497">
        <v>17084</v>
      </c>
      <c r="D28" s="497">
        <v>0</v>
      </c>
      <c r="E28" s="497">
        <v>0</v>
      </c>
      <c r="F28" s="497">
        <v>0</v>
      </c>
      <c r="G28" s="501">
        <f>SUM(B28:F28)</f>
        <v>17084</v>
      </c>
      <c r="H28" s="37"/>
    </row>
    <row r="29" spans="1:8" ht="12.75">
      <c r="A29" s="356" t="s">
        <v>305</v>
      </c>
      <c r="B29" s="497">
        <f>'Balance Sheet-1'!D15</f>
        <v>189837.39</v>
      </c>
      <c r="C29" s="497">
        <v>0</v>
      </c>
      <c r="D29" s="497">
        <v>0</v>
      </c>
      <c r="E29" s="497">
        <v>0</v>
      </c>
      <c r="F29" s="497">
        <v>0</v>
      </c>
      <c r="G29" s="501">
        <f>SUM(B29:F29)</f>
        <v>189837.39</v>
      </c>
      <c r="H29" s="37"/>
    </row>
    <row r="30" spans="1:8" ht="12.75" hidden="1">
      <c r="A30" s="356" t="s">
        <v>70</v>
      </c>
      <c r="B30" s="497">
        <v>0</v>
      </c>
      <c r="C30" s="497">
        <v>0</v>
      </c>
      <c r="D30" s="497">
        <v>0</v>
      </c>
      <c r="E30" s="497">
        <v>0</v>
      </c>
      <c r="F30" s="497">
        <v>0</v>
      </c>
      <c r="G30" s="501">
        <f>SUM(B30:F30)</f>
        <v>0</v>
      </c>
      <c r="H30" s="37" t="s">
        <v>33</v>
      </c>
    </row>
    <row r="31" spans="1:8" ht="12.75">
      <c r="A31" s="356" t="s">
        <v>292</v>
      </c>
      <c r="B31" s="499">
        <f aca="true" t="shared" si="4" ref="B31:G31">SUM(B28:B30)</f>
        <v>189837.39</v>
      </c>
      <c r="C31" s="499">
        <f t="shared" si="4"/>
        <v>17084</v>
      </c>
      <c r="D31" s="499">
        <f t="shared" si="4"/>
        <v>0</v>
      </c>
      <c r="E31" s="499">
        <f t="shared" si="4"/>
        <v>0</v>
      </c>
      <c r="F31" s="499">
        <f t="shared" si="4"/>
        <v>0</v>
      </c>
      <c r="G31" s="500">
        <f t="shared" si="4"/>
        <v>206921.39</v>
      </c>
      <c r="H31" s="39"/>
    </row>
    <row r="32" spans="1:8" ht="12.75">
      <c r="A32" s="356"/>
      <c r="B32" s="497"/>
      <c r="C32" s="497"/>
      <c r="D32" s="497"/>
      <c r="E32" s="497"/>
      <c r="F32" s="497"/>
      <c r="G32" s="497"/>
      <c r="H32" s="37"/>
    </row>
    <row r="33" spans="1:8" ht="12.75">
      <c r="A33" s="395" t="s">
        <v>306</v>
      </c>
      <c r="B33" s="504"/>
      <c r="C33" s="504"/>
      <c r="D33" s="504"/>
      <c r="E33" s="504"/>
      <c r="F33" s="504"/>
      <c r="G33" s="497"/>
      <c r="H33" s="37"/>
    </row>
    <row r="34" spans="1:8" ht="12.75">
      <c r="A34" s="356" t="s">
        <v>307</v>
      </c>
      <c r="B34" s="497">
        <f>'(8)Earned Incurred YTD6'!B49</f>
        <v>10038.47</v>
      </c>
      <c r="C34" s="497">
        <f>'(8)Earned Incurred YTD6'!C49</f>
        <v>0</v>
      </c>
      <c r="D34" s="497">
        <v>0</v>
      </c>
      <c r="E34" s="497">
        <v>0</v>
      </c>
      <c r="F34" s="497">
        <v>0</v>
      </c>
      <c r="G34" s="501">
        <f>SUM(B34:F34)</f>
        <v>10038.47</v>
      </c>
      <c r="H34" s="37">
        <f>-G28+G34</f>
        <v>-7045.530000000001</v>
      </c>
    </row>
    <row r="35" spans="1:8" ht="12.75">
      <c r="A35" s="356" t="s">
        <v>308</v>
      </c>
      <c r="B35" s="497">
        <v>0</v>
      </c>
      <c r="C35" s="497">
        <v>282394</v>
      </c>
      <c r="D35" s="497">
        <v>0</v>
      </c>
      <c r="E35" s="497">
        <v>0</v>
      </c>
      <c r="F35" s="497">
        <v>0</v>
      </c>
      <c r="G35" s="501">
        <f>SUM(B35:F35)</f>
        <v>282394</v>
      </c>
      <c r="H35" s="37"/>
    </row>
    <row r="36" spans="1:8" ht="12.75" hidden="1">
      <c r="A36" s="356"/>
      <c r="B36" s="497"/>
      <c r="C36" s="497"/>
      <c r="D36" s="497"/>
      <c r="E36" s="497"/>
      <c r="F36" s="497"/>
      <c r="G36" s="501"/>
      <c r="H36" s="37"/>
    </row>
    <row r="37" spans="1:8" ht="12.75">
      <c r="A37" s="356" t="s">
        <v>292</v>
      </c>
      <c r="B37" s="499">
        <f aca="true" t="shared" si="5" ref="B37:G37">SUM(B34:B36)</f>
        <v>10038.47</v>
      </c>
      <c r="C37" s="499">
        <f t="shared" si="5"/>
        <v>282394</v>
      </c>
      <c r="D37" s="499">
        <f t="shared" si="5"/>
        <v>0</v>
      </c>
      <c r="E37" s="499">
        <f t="shared" si="5"/>
        <v>0</v>
      </c>
      <c r="F37" s="499">
        <f t="shared" si="5"/>
        <v>0</v>
      </c>
      <c r="G37" s="500">
        <f t="shared" si="5"/>
        <v>292432.47</v>
      </c>
      <c r="H37" s="609">
        <f>+G31-G37</f>
        <v>-85511.07999999996</v>
      </c>
    </row>
    <row r="38" spans="1:8" ht="12.75">
      <c r="A38" s="356"/>
      <c r="B38" s="497"/>
      <c r="C38" s="497"/>
      <c r="D38" s="497"/>
      <c r="E38" s="497"/>
      <c r="F38" s="497"/>
      <c r="G38" s="506"/>
      <c r="H38" s="39"/>
    </row>
    <row r="39" spans="1:28" s="42" customFormat="1" ht="12.75">
      <c r="A39" s="402" t="s">
        <v>186</v>
      </c>
      <c r="B39" s="497"/>
      <c r="C39" s="497"/>
      <c r="D39" s="497"/>
      <c r="E39" s="497"/>
      <c r="F39" s="497"/>
      <c r="G39" s="497"/>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187</v>
      </c>
      <c r="B40" s="505" t="e">
        <f>+'Income Statement-2'!#REF!</f>
        <v>#REF!</v>
      </c>
      <c r="C40" s="505"/>
      <c r="D40" s="497">
        <v>0</v>
      </c>
      <c r="E40" s="497">
        <v>0</v>
      </c>
      <c r="F40" s="497">
        <v>0</v>
      </c>
      <c r="G40" s="501"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202</v>
      </c>
      <c r="B41" s="497">
        <v>0</v>
      </c>
      <c r="C41" s="497">
        <v>0</v>
      </c>
      <c r="D41" s="497">
        <v>0</v>
      </c>
      <c r="E41" s="497">
        <v>0</v>
      </c>
      <c r="F41" s="497">
        <v>0</v>
      </c>
      <c r="G41" s="501">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292</v>
      </c>
      <c r="B42" s="503" t="e">
        <f>SUM(B40:B41)</f>
        <v>#REF!</v>
      </c>
      <c r="C42" s="503">
        <f>SUM(C40:C41)</f>
        <v>0</v>
      </c>
      <c r="D42" s="503">
        <f>SUM(D40:D41)</f>
        <v>0</v>
      </c>
      <c r="E42" s="503">
        <f>SUM(E40:E41)</f>
        <v>0</v>
      </c>
      <c r="F42" s="499">
        <f>SUM(F40:F41)</f>
        <v>0</v>
      </c>
      <c r="G42" s="500" t="e">
        <f>SUM(B42:F42)</f>
        <v>#REF!</v>
      </c>
      <c r="H42" s="39"/>
      <c r="I42" s="43"/>
      <c r="J42" s="40"/>
      <c r="K42" s="40"/>
      <c r="L42" s="40"/>
      <c r="M42" s="41"/>
      <c r="N42" s="41"/>
      <c r="O42" s="41"/>
      <c r="P42" s="41"/>
      <c r="Q42" s="41"/>
    </row>
    <row r="43" spans="1:8" ht="12.75">
      <c r="A43" s="356"/>
      <c r="B43" s="497"/>
      <c r="C43" s="497"/>
      <c r="D43" s="497"/>
      <c r="E43" s="497"/>
      <c r="F43" s="497"/>
      <c r="G43" s="506"/>
      <c r="H43" s="39"/>
    </row>
    <row r="44" spans="1:8" ht="26.25" thickBot="1">
      <c r="A44" s="395" t="s">
        <v>309</v>
      </c>
      <c r="B44" s="503" t="e">
        <f aca="true" t="shared" si="6" ref="B44:G44">B25-B31+B37+B42</f>
        <v>#REF!</v>
      </c>
      <c r="C44" s="503" t="e">
        <f>C25-C31+C37+C42</f>
        <v>#REF!</v>
      </c>
      <c r="D44" s="503" t="e">
        <f t="shared" si="6"/>
        <v>#REF!</v>
      </c>
      <c r="E44" s="503" t="e">
        <f t="shared" si="6"/>
        <v>#REF!</v>
      </c>
      <c r="F44" s="503" t="e">
        <f t="shared" si="6"/>
        <v>#REF!</v>
      </c>
      <c r="G44" s="500" t="e">
        <f t="shared" si="6"/>
        <v>#REF!</v>
      </c>
      <c r="H44" s="610" t="e">
        <f>SUM(H34:H43)</f>
        <v>#REF!</v>
      </c>
    </row>
    <row r="45" spans="1:8" ht="13.5" thickTop="1">
      <c r="A45" s="356"/>
      <c r="B45" s="497"/>
      <c r="C45" s="497"/>
      <c r="D45" s="497"/>
      <c r="E45" s="497"/>
      <c r="F45" s="497"/>
      <c r="G45" s="497"/>
      <c r="H45" s="37"/>
    </row>
    <row r="46" spans="1:8" ht="12.75">
      <c r="A46" s="404" t="s">
        <v>101</v>
      </c>
      <c r="B46" s="497"/>
      <c r="C46" s="497"/>
      <c r="D46" s="497"/>
      <c r="E46" s="497"/>
      <c r="F46" s="497"/>
      <c r="G46" s="497"/>
      <c r="H46" s="37"/>
    </row>
    <row r="47" spans="1:8" ht="12.75">
      <c r="A47" s="356" t="s">
        <v>267</v>
      </c>
      <c r="B47" s="497">
        <f>'(7)Premiums YTD8'!B18</f>
        <v>6184683</v>
      </c>
      <c r="C47" s="497">
        <f>'(7)Premiums YTD8'!C18</f>
        <v>0</v>
      </c>
      <c r="D47" s="497">
        <f>'(7)Premiums YTD8'!D18</f>
        <v>0</v>
      </c>
      <c r="E47" s="497" t="e">
        <f>'(7)Premiums YTD8'!E18</f>
        <v>#REF!</v>
      </c>
      <c r="F47" s="497" t="e">
        <f>'(7)Premiums YTD8'!F18</f>
        <v>#REF!</v>
      </c>
      <c r="G47" s="501" t="e">
        <f>SUM(B47:F47)</f>
        <v>#REF!</v>
      </c>
      <c r="H47" s="37" t="e">
        <f>+'(7)Premiums YTD8'!G18</f>
        <v>#REF!</v>
      </c>
    </row>
    <row r="48" spans="1:8" ht="12.75">
      <c r="A48" s="356" t="s">
        <v>310</v>
      </c>
      <c r="B48" s="497">
        <f>+'(6)Losses Incurred YTD10'!B18</f>
        <v>6530234.16294247</v>
      </c>
      <c r="C48" s="497">
        <f>+'(6)Losses Incurred YTD10'!C18</f>
        <v>525790.71</v>
      </c>
      <c r="D48" s="497">
        <f>+'(6)Losses Incurred YTD10'!D18</f>
        <v>92026</v>
      </c>
      <c r="E48" s="497">
        <f>'(6)Losses Incurred YTD10'!E18</f>
        <v>93733</v>
      </c>
      <c r="F48" s="497" t="e">
        <f>'(6)Losses Incurred YTD10'!F18</f>
        <v>#REF!</v>
      </c>
      <c r="G48" s="501" t="e">
        <f>SUM(B48:F48)</f>
        <v>#REF!</v>
      </c>
      <c r="H48" s="37" t="e">
        <f>+'(6)Losses Incurred YTD10'!H18</f>
        <v>#REF!</v>
      </c>
    </row>
    <row r="49" spans="1:8" ht="12.75">
      <c r="A49" s="356" t="s">
        <v>311</v>
      </c>
      <c r="B49" s="497">
        <f>+'(4)Loss Expenses YTD12'!B18</f>
        <v>670743.568894</v>
      </c>
      <c r="C49" s="497">
        <f>+'(4)Loss Expenses YTD12'!C18</f>
        <v>66617.682957</v>
      </c>
      <c r="D49" s="497">
        <f>+'(4)Loss Expenses YTD12'!D18</f>
        <v>11659.6942</v>
      </c>
      <c r="E49" s="497">
        <f>'(4)Loss Expenses YTD12'!E18-1</f>
        <v>11875.9847</v>
      </c>
      <c r="F49" s="497" t="e">
        <f>'(4)Loss Expenses YTD12'!F18-1</f>
        <v>#REF!</v>
      </c>
      <c r="G49" s="501" t="e">
        <f>SUM(B49:F49)+1</f>
        <v>#REF!</v>
      </c>
      <c r="H49" s="37" t="e">
        <f>+#REF!</f>
        <v>#REF!</v>
      </c>
    </row>
    <row r="50" spans="1:8" ht="12.75">
      <c r="A50" s="356" t="s">
        <v>312</v>
      </c>
      <c r="B50" s="497">
        <f>'(8)Earned Incurred YTD6'!B41</f>
        <v>330321.9</v>
      </c>
      <c r="C50" s="497">
        <f>'(8)Earned Incurred YTD6'!C41</f>
        <v>0</v>
      </c>
      <c r="D50" s="497">
        <v>0</v>
      </c>
      <c r="E50" s="497">
        <v>0</v>
      </c>
      <c r="F50" s="348">
        <v>0</v>
      </c>
      <c r="G50" s="501">
        <f>SUM(B50:F50)</f>
        <v>330321.9</v>
      </c>
      <c r="H50" s="37">
        <f>+'(8)Earned Incurred YTD6'!B41</f>
        <v>330321.9</v>
      </c>
    </row>
    <row r="51" spans="1:8" ht="12.75">
      <c r="A51" s="356" t="s">
        <v>313</v>
      </c>
      <c r="B51" s="497">
        <f>'(8)Earned Incurred YTD6'!B32</f>
        <v>41432.32</v>
      </c>
      <c r="C51" s="497">
        <f>'(8)Earned Incurred YTD6'!C32</f>
        <v>0</v>
      </c>
      <c r="D51" s="497">
        <v>0</v>
      </c>
      <c r="E51" s="497">
        <v>0</v>
      </c>
      <c r="F51" s="348">
        <v>0</v>
      </c>
      <c r="G51" s="501">
        <f>SUM(B51:F51)</f>
        <v>41432.32</v>
      </c>
      <c r="H51" s="37">
        <f>+'(8)Earned Incurred YTD6'!B32</f>
        <v>41432.32</v>
      </c>
    </row>
    <row r="52" spans="1:9" ht="12.75">
      <c r="A52" s="405" t="s">
        <v>292</v>
      </c>
      <c r="B52" s="499">
        <f>SUM(B47:B51)-1</f>
        <v>13757413.95183647</v>
      </c>
      <c r="C52" s="499">
        <f>SUM(C47:C51)-1</f>
        <v>592407.392957</v>
      </c>
      <c r="D52" s="499">
        <f>SUM(D47:D51)</f>
        <v>103685.6942</v>
      </c>
      <c r="E52" s="499" t="e">
        <f>SUM(E47:E51)</f>
        <v>#REF!</v>
      </c>
      <c r="F52" s="499" t="e">
        <f>SUM(F47:F51)</f>
        <v>#REF!</v>
      </c>
      <c r="G52" s="500" t="e">
        <f>SUM(G47:G51)</f>
        <v>#REF!</v>
      </c>
      <c r="H52" s="39" t="e">
        <f>SUM(G47:G51)</f>
        <v>#REF!</v>
      </c>
      <c r="I52" s="255" t="e">
        <f>+G52-H52</f>
        <v>#REF!</v>
      </c>
    </row>
    <row r="53" spans="1:8" ht="12.75">
      <c r="A53" s="356"/>
      <c r="B53" s="497"/>
      <c r="C53" s="497"/>
      <c r="D53" s="497"/>
      <c r="E53" s="497"/>
      <c r="F53" s="497"/>
      <c r="G53" s="497"/>
      <c r="H53" s="37"/>
    </row>
    <row r="54" spans="1:8" ht="12.75">
      <c r="A54" s="404" t="s">
        <v>102</v>
      </c>
      <c r="B54" s="510"/>
      <c r="C54" s="510"/>
      <c r="D54" s="510"/>
      <c r="E54" s="510"/>
      <c r="F54" s="497"/>
      <c r="G54" s="497"/>
      <c r="H54" s="37"/>
    </row>
    <row r="55" spans="1:8" ht="12.75">
      <c r="A55" s="356" t="s">
        <v>267</v>
      </c>
      <c r="B55" s="497">
        <f>+'(7)Premiums YTD8'!B24</f>
        <v>0</v>
      </c>
      <c r="C55" s="497">
        <f>+'(7)Premiums YTD8'!C24</f>
        <v>8897126</v>
      </c>
      <c r="D55" s="497">
        <f>+'(7)Premiums YTD8'!D24</f>
        <v>0</v>
      </c>
      <c r="E55" s="497">
        <f>+'(7)Premiums YTD8'!E24</f>
        <v>0</v>
      </c>
      <c r="F55" s="497">
        <v>0</v>
      </c>
      <c r="G55" s="501">
        <f>SUM(B55:F55)</f>
        <v>8897126</v>
      </c>
      <c r="H55" s="37">
        <f>+'(7)Premiums YTD8'!G24</f>
        <v>8897126</v>
      </c>
    </row>
    <row r="56" spans="1:8" ht="12.75">
      <c r="A56" s="356" t="s">
        <v>310</v>
      </c>
      <c r="B56" s="497">
        <v>0</v>
      </c>
      <c r="C56" s="497">
        <f>+'(6)Losses Incurred YTD10'!C24</f>
        <v>4404123</v>
      </c>
      <c r="D56" s="497">
        <f>+'(6)Losses Incurred YTD10'!D24</f>
        <v>932658</v>
      </c>
      <c r="E56" s="497">
        <f>+'(6)Losses Incurred YTD10'!E24</f>
        <v>172030</v>
      </c>
      <c r="F56" s="497">
        <f>+'(6)Losses Incurred YTD10'!F24</f>
        <v>78667</v>
      </c>
      <c r="G56" s="501">
        <f>SUM(B56:F56)-1</f>
        <v>5587477</v>
      </c>
      <c r="H56" s="37">
        <f>+'(6)Losses Incurred YTD10'!H24</f>
        <v>5587477</v>
      </c>
    </row>
    <row r="57" spans="1:8" ht="12.75">
      <c r="A57" s="356" t="s">
        <v>314</v>
      </c>
      <c r="B57" s="497">
        <v>0</v>
      </c>
      <c r="C57" s="497">
        <f>+'(4)Loss Expenses YTD12'!C24</f>
        <v>343249</v>
      </c>
      <c r="D57" s="497">
        <f>+'(4)Loss Expenses YTD12'!D24</f>
        <v>103712</v>
      </c>
      <c r="E57" s="497">
        <f>+'(4)Loss Expenses YTD12'!E24</f>
        <v>19130</v>
      </c>
      <c r="F57" s="497">
        <f>+'(4)Loss Expenses YTD12'!F24</f>
        <v>8748</v>
      </c>
      <c r="G57" s="501">
        <f>SUM(B57:F57)-2</f>
        <v>474837</v>
      </c>
      <c r="H57" s="37">
        <f>+'(4)Loss Expenses YTD12'!H24</f>
        <v>474837</v>
      </c>
    </row>
    <row r="58" spans="1:8" ht="12.75">
      <c r="A58" s="356" t="s">
        <v>312</v>
      </c>
      <c r="B58" s="497">
        <v>0</v>
      </c>
      <c r="C58" s="497">
        <f>+'(8)Earned Incurred YTD6'!B42</f>
        <v>356304</v>
      </c>
      <c r="D58" s="497">
        <v>0</v>
      </c>
      <c r="E58" s="497">
        <v>0</v>
      </c>
      <c r="F58" s="497">
        <v>0</v>
      </c>
      <c r="G58" s="501">
        <f>SUM(B58:F58)</f>
        <v>356304</v>
      </c>
      <c r="H58" s="37">
        <f>+'(8)Earned Incurred YTD6'!B42</f>
        <v>356304</v>
      </c>
    </row>
    <row r="59" spans="1:8" ht="12.75">
      <c r="A59" s="356" t="s">
        <v>313</v>
      </c>
      <c r="B59" s="497">
        <v>0</v>
      </c>
      <c r="C59" s="497">
        <f>+'(8)Earned Incurred YTD6'!B33</f>
        <v>46320</v>
      </c>
      <c r="D59" s="497">
        <v>0</v>
      </c>
      <c r="E59" s="497">
        <v>0</v>
      </c>
      <c r="F59" s="497">
        <v>0</v>
      </c>
      <c r="G59" s="501">
        <f>SUM(B59:F59)</f>
        <v>46320</v>
      </c>
      <c r="H59" s="37">
        <f>+'(8)Earned Incurred YTD6'!B33</f>
        <v>46320</v>
      </c>
    </row>
    <row r="60" spans="1:8" ht="12.75">
      <c r="A60" s="356" t="s">
        <v>292</v>
      </c>
      <c r="B60" s="499">
        <f aca="true" t="shared" si="7" ref="B60:G60">SUM(B55:B59)</f>
        <v>0</v>
      </c>
      <c r="C60" s="499">
        <f t="shared" si="7"/>
        <v>14047122</v>
      </c>
      <c r="D60" s="499">
        <f t="shared" si="7"/>
        <v>1036370</v>
      </c>
      <c r="E60" s="499">
        <f t="shared" si="7"/>
        <v>191160</v>
      </c>
      <c r="F60" s="499">
        <f t="shared" si="7"/>
        <v>87415</v>
      </c>
      <c r="G60" s="500">
        <f t="shared" si="7"/>
        <v>15362064</v>
      </c>
      <c r="H60" s="39">
        <f>SUM(G55:G59)</f>
        <v>15362064</v>
      </c>
    </row>
    <row r="61" spans="1:7" ht="12.75">
      <c r="A61" s="356"/>
      <c r="B61" s="406"/>
      <c r="C61" s="406"/>
      <c r="D61" s="406"/>
      <c r="E61" s="406"/>
      <c r="F61" s="399"/>
      <c r="G61" s="399"/>
    </row>
    <row r="62" spans="1:8" s="119" customFormat="1" ht="13.5" thickBot="1">
      <c r="A62" s="401" t="s">
        <v>315</v>
      </c>
      <c r="B62" s="507" t="e">
        <f>B44-B52+B60</f>
        <v>#REF!</v>
      </c>
      <c r="C62" s="507" t="e">
        <f>C44-C52+C60</f>
        <v>#REF!</v>
      </c>
      <c r="D62" s="507" t="e">
        <f>D44-D52+D60</f>
        <v>#REF!</v>
      </c>
      <c r="E62" s="507" t="e">
        <f>E44-E52+E60</f>
        <v>#REF!</v>
      </c>
      <c r="F62" s="507" t="e">
        <f>F44-F52+F60</f>
        <v>#REF!</v>
      </c>
      <c r="G62" s="507" t="e">
        <f>SUM(B62:F62)-5</f>
        <v>#REF!</v>
      </c>
      <c r="H62" s="44" t="e">
        <f>+H44</f>
        <v>#REF!</v>
      </c>
    </row>
    <row r="63" spans="1:9" ht="13.5" thickTop="1">
      <c r="A63" s="356"/>
      <c r="B63" s="406"/>
      <c r="C63" s="406"/>
      <c r="D63" s="406"/>
      <c r="E63" s="406"/>
      <c r="F63" s="399"/>
      <c r="G63" s="612"/>
      <c r="H63" s="44" t="e">
        <f>+G62-H62</f>
        <v>#REF!</v>
      </c>
      <c r="I63" s="347"/>
    </row>
    <row r="64" spans="1:9" ht="12.75">
      <c r="A64" s="356"/>
      <c r="B64" s="406"/>
      <c r="C64" s="406"/>
      <c r="D64" s="406"/>
      <c r="E64" s="406"/>
      <c r="F64" s="399"/>
      <c r="G64" s="612"/>
      <c r="I64" s="44"/>
    </row>
    <row r="65" spans="1:7" ht="12.75">
      <c r="A65" s="356"/>
      <c r="B65" s="406"/>
      <c r="C65" s="406"/>
      <c r="D65" s="406"/>
      <c r="E65" s="406"/>
      <c r="F65" s="399"/>
      <c r="G65" s="771"/>
    </row>
    <row r="66" ht="12.75">
      <c r="G66" s="611"/>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30" customHeight="1">
      <c r="A1" s="980" t="s">
        <v>254</v>
      </c>
      <c r="B1" s="981"/>
      <c r="C1" s="981"/>
      <c r="D1" s="982"/>
      <c r="E1" s="788"/>
    </row>
    <row r="2" spans="1:5" s="45" customFormat="1" ht="15" customHeight="1">
      <c r="A2" s="983"/>
      <c r="B2" s="984"/>
      <c r="C2" s="984"/>
      <c r="D2" s="985"/>
      <c r="E2" s="789"/>
    </row>
    <row r="3" spans="1:5" s="794" customFormat="1" ht="15" customHeight="1">
      <c r="A3" s="977" t="s">
        <v>217</v>
      </c>
      <c r="B3" s="978"/>
      <c r="C3" s="978"/>
      <c r="D3" s="979"/>
      <c r="E3" s="793"/>
    </row>
    <row r="4" spans="1:5" s="794" customFormat="1" ht="15" customHeight="1">
      <c r="A4" s="977" t="s">
        <v>316</v>
      </c>
      <c r="B4" s="978"/>
      <c r="C4" s="978"/>
      <c r="D4" s="979"/>
      <c r="E4" s="793"/>
    </row>
    <row r="5" spans="1:5" s="794" customFormat="1" ht="15" customHeight="1">
      <c r="A5" s="977" t="s">
        <v>486</v>
      </c>
      <c r="B5" s="978"/>
      <c r="C5" s="978"/>
      <c r="D5" s="979"/>
      <c r="E5" s="793"/>
    </row>
    <row r="6" spans="1:5" s="45" customFormat="1" ht="15" customHeight="1">
      <c r="A6" s="407"/>
      <c r="B6" s="337"/>
      <c r="C6" s="337"/>
      <c r="D6" s="511"/>
      <c r="E6" s="789"/>
    </row>
    <row r="7" spans="1:5" s="18" customFormat="1" ht="15" customHeight="1">
      <c r="A7" s="408"/>
      <c r="B7" s="337"/>
      <c r="C7" s="337"/>
      <c r="D7" s="511"/>
      <c r="E7" s="127"/>
    </row>
    <row r="8" spans="1:5" s="18" customFormat="1" ht="15" customHeight="1">
      <c r="A8" s="409" t="s">
        <v>317</v>
      </c>
      <c r="B8" s="512" t="s">
        <v>487</v>
      </c>
      <c r="C8" s="513"/>
      <c r="D8" s="514"/>
      <c r="E8" s="127"/>
    </row>
    <row r="9" spans="1:5" s="18" customFormat="1" ht="15" customHeight="1">
      <c r="A9" s="409"/>
      <c r="B9" s="515" t="s">
        <v>206</v>
      </c>
      <c r="C9" s="516"/>
      <c r="D9" s="517"/>
      <c r="E9" s="127"/>
    </row>
    <row r="10" spans="1:5" s="18" customFormat="1" ht="15" customHeight="1">
      <c r="A10" s="410"/>
      <c r="B10" s="518" t="s">
        <v>264</v>
      </c>
      <c r="C10" s="519"/>
      <c r="D10" s="520"/>
      <c r="E10" s="127"/>
    </row>
    <row r="11" spans="1:5" s="18" customFormat="1" ht="15" customHeight="1">
      <c r="A11" s="411" t="s">
        <v>318</v>
      </c>
      <c r="B11" s="521"/>
      <c r="C11" s="480">
        <f>'Premiums QTD-7'!G11</f>
        <v>6174192</v>
      </c>
      <c r="D11" s="522"/>
      <c r="E11" s="127"/>
    </row>
    <row r="12" spans="1:5" s="18" customFormat="1" ht="15" customHeight="1">
      <c r="A12" s="411"/>
      <c r="B12" s="521"/>
      <c r="C12" s="488"/>
      <c r="D12" s="522"/>
      <c r="E12" s="127"/>
    </row>
    <row r="13" spans="1:5" s="18" customFormat="1" ht="15" customHeight="1">
      <c r="A13" s="412" t="s">
        <v>319</v>
      </c>
      <c r="B13" s="521">
        <f>'Earned Incurred YTD-6'!B13</f>
        <v>12039591</v>
      </c>
      <c r="C13" s="122"/>
      <c r="D13" s="522"/>
      <c r="E13" s="127"/>
    </row>
    <row r="14" spans="1:5" s="18" customFormat="1" ht="15" customHeight="1">
      <c r="A14" s="412" t="s">
        <v>338</v>
      </c>
      <c r="B14" s="523">
        <f>'Premiums QTD-7'!G23</f>
        <v>11701177</v>
      </c>
      <c r="C14" s="122"/>
      <c r="D14" s="522"/>
      <c r="E14" s="127"/>
    </row>
    <row r="15" spans="1:5" s="18" customFormat="1" ht="15" customHeight="1">
      <c r="A15" s="412" t="s">
        <v>339</v>
      </c>
      <c r="B15" s="521"/>
      <c r="C15" s="524">
        <f>B14-B13</f>
        <v>-338414</v>
      </c>
      <c r="D15" s="522"/>
      <c r="E15" s="127"/>
    </row>
    <row r="16" spans="1:5" s="18" customFormat="1" ht="15" customHeight="1">
      <c r="A16" s="411" t="s">
        <v>340</v>
      </c>
      <c r="B16" s="521"/>
      <c r="C16" s="122"/>
      <c r="D16" s="576">
        <f>C11+C15</f>
        <v>5835778</v>
      </c>
      <c r="E16" s="127"/>
    </row>
    <row r="17" spans="1:4" s="18" customFormat="1" ht="15" customHeight="1">
      <c r="A17" s="412" t="s">
        <v>341</v>
      </c>
      <c r="B17" s="521"/>
      <c r="C17" s="122">
        <f>'[13]TRIAL BALANCE @ 10-26-04'!D267</f>
        <v>3025721.5599999996</v>
      </c>
      <c r="D17" s="522"/>
    </row>
    <row r="18" spans="1:4" s="18" customFormat="1" ht="15" customHeight="1">
      <c r="A18" s="412" t="s">
        <v>76</v>
      </c>
      <c r="B18" s="521"/>
      <c r="C18" s="524">
        <f>-'[13]TRIAL BALANCE @ 10-26-04'!D282+1</f>
        <v>19179.04</v>
      </c>
      <c r="D18" s="522"/>
    </row>
    <row r="19" spans="1:5" s="18" customFormat="1" ht="15" customHeight="1">
      <c r="A19" s="411" t="s">
        <v>343</v>
      </c>
      <c r="B19" s="521"/>
      <c r="C19" s="122">
        <f>C17-C18</f>
        <v>3006542.5199999996</v>
      </c>
      <c r="D19" s="522"/>
      <c r="E19" s="127"/>
    </row>
    <row r="20" spans="1:5" s="18" customFormat="1" ht="15" customHeight="1">
      <c r="A20" s="412" t="s">
        <v>344</v>
      </c>
      <c r="B20" s="521">
        <f>'Earned Incurred YTD-6'!B20</f>
        <v>6386509.92</v>
      </c>
      <c r="C20" s="122" t="s">
        <v>264</v>
      </c>
      <c r="D20" s="522"/>
      <c r="E20" s="127"/>
    </row>
    <row r="21" spans="1:5" s="18" customFormat="1" ht="15" customHeight="1">
      <c r="A21" s="412" t="s">
        <v>345</v>
      </c>
      <c r="B21" s="523">
        <f>'Losses Incurred QTD-9'!G32</f>
        <v>6739446.85</v>
      </c>
      <c r="C21" s="122"/>
      <c r="D21" s="522"/>
      <c r="E21" s="127"/>
    </row>
    <row r="22" spans="1:5" s="18" customFormat="1" ht="15" customHeight="1">
      <c r="A22" s="412" t="s">
        <v>346</v>
      </c>
      <c r="B22" s="526"/>
      <c r="C22" s="524">
        <f>B20-B21</f>
        <v>-352936.9299999997</v>
      </c>
      <c r="D22" s="522"/>
      <c r="E22" s="127"/>
    </row>
    <row r="23" spans="1:6" s="18" customFormat="1" ht="15" customHeight="1">
      <c r="A23" s="411" t="s">
        <v>347</v>
      </c>
      <c r="B23" s="521"/>
      <c r="C23" s="122"/>
      <c r="D23" s="522">
        <f>C19+C22</f>
        <v>2653605.59</v>
      </c>
      <c r="E23" s="122"/>
      <c r="F23" s="114"/>
    </row>
    <row r="24" spans="1:5" s="18" customFormat="1" ht="15" customHeight="1">
      <c r="A24" s="412" t="s">
        <v>348</v>
      </c>
      <c r="B24" s="521"/>
      <c r="C24" s="122">
        <f>'[13]TRIAL BALANCE @ 10-26-04'!D358</f>
        <v>260476.49</v>
      </c>
      <c r="D24" s="522"/>
      <c r="E24" s="334"/>
    </row>
    <row r="25" spans="1:5" s="18" customFormat="1" ht="15" customHeight="1">
      <c r="A25" s="412" t="s">
        <v>349</v>
      </c>
      <c r="B25" s="521"/>
      <c r="C25" s="524">
        <f>'[13]TRIAL BALANCE @ 10-26-04'!D375+1</f>
        <v>133743.78</v>
      </c>
      <c r="D25" s="522"/>
      <c r="E25" s="334"/>
    </row>
    <row r="26" spans="1:5" s="18" customFormat="1" ht="15" customHeight="1">
      <c r="A26" s="411" t="s">
        <v>350</v>
      </c>
      <c r="B26" s="521"/>
      <c r="C26" s="122">
        <f>C24+C25</f>
        <v>394220.27</v>
      </c>
      <c r="D26" s="522"/>
      <c r="E26" s="122"/>
    </row>
    <row r="27" spans="1:5" s="18" customFormat="1" ht="15" customHeight="1">
      <c r="A27" s="412" t="s">
        <v>351</v>
      </c>
      <c r="B27" s="521">
        <f>'Earned Incurred YTD-6'!B27</f>
        <v>680095.5100000001</v>
      </c>
      <c r="C27" s="122"/>
      <c r="D27" s="522"/>
      <c r="E27" s="334"/>
    </row>
    <row r="28" spans="1:5" s="18" customFormat="1" ht="15" customHeight="1">
      <c r="A28" s="412" t="s">
        <v>352</v>
      </c>
      <c r="B28" s="523">
        <f>'Loss Expenses QTD-11'!G24</f>
        <v>635457.57</v>
      </c>
      <c r="C28" s="122"/>
      <c r="D28" s="522"/>
      <c r="E28" s="122"/>
    </row>
    <row r="29" spans="1:7" s="18" customFormat="1" ht="15" customHeight="1">
      <c r="A29" s="412" t="s">
        <v>353</v>
      </c>
      <c r="B29" s="521"/>
      <c r="C29" s="524">
        <f>B27-B28-1</f>
        <v>44636.94000000018</v>
      </c>
      <c r="D29" s="522"/>
      <c r="E29" s="334"/>
      <c r="G29" s="114"/>
    </row>
    <row r="30" spans="1:6" s="18" customFormat="1" ht="15" customHeight="1">
      <c r="A30" s="411" t="s">
        <v>354</v>
      </c>
      <c r="B30" s="521"/>
      <c r="C30" s="122"/>
      <c r="D30" s="525">
        <f>C26+C29</f>
        <v>438857.2100000002</v>
      </c>
      <c r="E30" s="122"/>
      <c r="F30" s="114"/>
    </row>
    <row r="31" spans="1:6" s="18" customFormat="1" ht="15" customHeight="1">
      <c r="A31" s="411" t="s">
        <v>355</v>
      </c>
      <c r="B31" s="521"/>
      <c r="C31" s="122"/>
      <c r="D31" s="787">
        <f>D23+D30</f>
        <v>3092462.8</v>
      </c>
      <c r="E31" s="122"/>
      <c r="F31" s="114"/>
    </row>
    <row r="32" spans="1:6" s="18" customFormat="1" ht="15" customHeight="1">
      <c r="A32" s="412" t="s">
        <v>356</v>
      </c>
      <c r="B32" s="521"/>
      <c r="C32" s="122">
        <v>900</v>
      </c>
      <c r="D32" s="522"/>
      <c r="E32" s="334"/>
      <c r="F32" s="114"/>
    </row>
    <row r="33" spans="1:7" s="18" customFormat="1" ht="15" customHeight="1">
      <c r="A33" s="412" t="s">
        <v>357</v>
      </c>
      <c r="B33" s="521">
        <f>'Earned Incurred YTD-6'!B33</f>
        <v>41432.32</v>
      </c>
      <c r="C33" s="122"/>
      <c r="D33" s="522"/>
      <c r="E33" s="127"/>
      <c r="G33" s="114"/>
    </row>
    <row r="34" spans="1:7" s="18" customFormat="1" ht="15" customHeight="1">
      <c r="A34" s="412" t="s">
        <v>358</v>
      </c>
      <c r="B34" s="523">
        <f>'[14]Earned Incurred YTD-6'!$B$33</f>
        <v>19328.66</v>
      </c>
      <c r="C34" s="122" t="s">
        <v>264</v>
      </c>
      <c r="D34" s="522"/>
      <c r="E34" s="127"/>
      <c r="G34" s="114"/>
    </row>
    <row r="35" spans="1:5" s="18" customFormat="1" ht="15" customHeight="1">
      <c r="A35" s="412" t="s">
        <v>59</v>
      </c>
      <c r="B35" s="521"/>
      <c r="C35" s="524">
        <f>B33-B34-1</f>
        <v>22102.66</v>
      </c>
      <c r="D35" s="522"/>
      <c r="E35" s="127"/>
    </row>
    <row r="36" spans="1:6" s="18" customFormat="1" ht="15" customHeight="1">
      <c r="A36" s="411" t="s">
        <v>60</v>
      </c>
      <c r="B36" s="521"/>
      <c r="C36" s="122" t="s">
        <v>264</v>
      </c>
      <c r="D36" s="522">
        <f>C32+C35</f>
        <v>23002.66</v>
      </c>
      <c r="E36" s="127"/>
      <c r="F36" s="114"/>
    </row>
    <row r="37" spans="1:5" s="18" customFormat="1" ht="15" customHeight="1">
      <c r="A37" s="412" t="s">
        <v>462</v>
      </c>
      <c r="B37" s="521"/>
      <c r="C37" s="122">
        <f>'[13]TRIAL BALANCE @ 10-26-04'!D494</f>
        <v>558150.7999999999</v>
      </c>
      <c r="D37" s="638"/>
      <c r="E37" s="127"/>
    </row>
    <row r="38" spans="1:5" s="18" customFormat="1" ht="15" customHeight="1">
      <c r="A38" s="412" t="s">
        <v>440</v>
      </c>
      <c r="B38" s="521"/>
      <c r="C38" s="122">
        <f>'[13]TRIAL BALANCE @ 10-26-04'!D497+'[13]TRIAL BALANCE @ 10-26-04'!D499+'[13]TRIAL BALANCE @ 10-26-04'!D507</f>
        <v>77474.18</v>
      </c>
      <c r="D38" s="522"/>
      <c r="E38" s="790"/>
    </row>
    <row r="39" spans="1:6" s="18" customFormat="1" ht="15" customHeight="1">
      <c r="A39" s="412" t="s">
        <v>146</v>
      </c>
      <c r="B39" s="521"/>
      <c r="C39" s="524">
        <f>'[13]TRIAL BALANCE @ 10-26-04'!D804-C43+1</f>
        <v>1058510.5800000003</v>
      </c>
      <c r="D39" s="522"/>
      <c r="E39" s="790"/>
      <c r="F39" s="127"/>
    </row>
    <row r="40" spans="1:6" s="18" customFormat="1" ht="15" customHeight="1">
      <c r="A40" s="411" t="s">
        <v>147</v>
      </c>
      <c r="B40" s="521"/>
      <c r="C40" s="122">
        <f>SUM(C37:C39)</f>
        <v>1694135.5600000003</v>
      </c>
      <c r="D40" s="522"/>
      <c r="E40" s="790"/>
      <c r="F40" s="127"/>
    </row>
    <row r="41" spans="1:5" s="18" customFormat="1" ht="15" customHeight="1">
      <c r="A41" s="412" t="s">
        <v>357</v>
      </c>
      <c r="B41" s="521">
        <f>'Earned Incurred YTD-6'!B41</f>
        <v>321210.28</v>
      </c>
      <c r="C41" s="122"/>
      <c r="D41" s="522"/>
      <c r="E41" s="127"/>
    </row>
    <row r="42" spans="1:5" s="18" customFormat="1" ht="15" customHeight="1">
      <c r="A42" s="412" t="s">
        <v>358</v>
      </c>
      <c r="B42" s="523">
        <f>'[14]Earned Incurred YTD-6'!$B$41</f>
        <v>347860.58</v>
      </c>
      <c r="C42" s="122" t="s">
        <v>264</v>
      </c>
      <c r="D42" s="522"/>
      <c r="E42" s="127"/>
    </row>
    <row r="43" spans="1:5" s="18" customFormat="1" ht="15" customHeight="1">
      <c r="A43" s="412" t="s">
        <v>148</v>
      </c>
      <c r="B43" s="521"/>
      <c r="C43" s="524">
        <f>+B41-B42-1</f>
        <v>-26651.29999999999</v>
      </c>
      <c r="D43" s="522"/>
      <c r="E43" s="127"/>
    </row>
    <row r="44" spans="1:6" s="18" customFormat="1" ht="15" customHeight="1">
      <c r="A44" s="411" t="s">
        <v>218</v>
      </c>
      <c r="B44" s="521"/>
      <c r="C44" s="122"/>
      <c r="D44" s="525">
        <f>SUM(C40:C43)+1</f>
        <v>1667485.2600000002</v>
      </c>
      <c r="E44" s="127"/>
      <c r="F44" s="127"/>
    </row>
    <row r="45" spans="1:6" s="18" customFormat="1" ht="15" customHeight="1">
      <c r="A45" s="411" t="s">
        <v>149</v>
      </c>
      <c r="B45" s="521"/>
      <c r="C45" s="122"/>
      <c r="D45" s="527">
        <f>SUM(D36:D44)</f>
        <v>1690487.9200000002</v>
      </c>
      <c r="E45" s="127"/>
      <c r="F45" s="120"/>
    </row>
    <row r="46" spans="1:6" s="18" customFormat="1" ht="15" customHeight="1">
      <c r="A46" s="411" t="s">
        <v>150</v>
      </c>
      <c r="B46" s="521"/>
      <c r="C46" s="122"/>
      <c r="D46" s="940">
        <f>+D31+D45</f>
        <v>4782950.72</v>
      </c>
      <c r="E46" s="127"/>
      <c r="F46" s="120"/>
    </row>
    <row r="47" spans="1:6" s="18" customFormat="1" ht="15" customHeight="1">
      <c r="A47" s="411" t="s">
        <v>468</v>
      </c>
      <c r="B47" s="521"/>
      <c r="C47" s="122"/>
      <c r="D47" s="787">
        <f>D16-D31-D45</f>
        <v>1052827.28</v>
      </c>
      <c r="E47" s="48"/>
      <c r="F47" s="127"/>
    </row>
    <row r="48" spans="1:6" s="18" customFormat="1" ht="15" customHeight="1">
      <c r="A48" s="412" t="s">
        <v>199</v>
      </c>
      <c r="B48" s="521"/>
      <c r="C48" s="122">
        <f>-'[13]TRIAL BALANCE @ 10-26-04'!D249-C51+1</f>
        <v>25191.17</v>
      </c>
      <c r="D48" s="530"/>
      <c r="E48" s="114"/>
      <c r="F48" s="114"/>
    </row>
    <row r="49" spans="1:5" s="18" customFormat="1" ht="15" customHeight="1">
      <c r="A49" s="412" t="s">
        <v>374</v>
      </c>
      <c r="B49" s="521">
        <f>'Earned Incurred YTD-6'!B49</f>
        <v>38063.41</v>
      </c>
      <c r="C49" s="122"/>
      <c r="D49" s="530"/>
      <c r="E49" s="127"/>
    </row>
    <row r="50" spans="1:5" s="18" customFormat="1" ht="15" customHeight="1">
      <c r="A50" s="412" t="s">
        <v>375</v>
      </c>
      <c r="B50" s="523">
        <f>'[14]Earned Incurred YTD-6'!$B$49</f>
        <v>13121.08</v>
      </c>
      <c r="C50" s="122" t="s">
        <v>264</v>
      </c>
      <c r="D50" s="530"/>
      <c r="E50" s="127"/>
    </row>
    <row r="51" spans="1:5" s="18" customFormat="1" ht="15" customHeight="1">
      <c r="A51" s="412" t="s">
        <v>376</v>
      </c>
      <c r="B51" s="521"/>
      <c r="C51" s="524">
        <f>B49-B50</f>
        <v>24942.33</v>
      </c>
      <c r="D51" s="530"/>
      <c r="E51" s="127"/>
    </row>
    <row r="52" spans="1:5" s="18" customFormat="1" ht="15" customHeight="1">
      <c r="A52" s="411" t="s">
        <v>200</v>
      </c>
      <c r="B52" s="521"/>
      <c r="C52" s="122"/>
      <c r="D52" s="531">
        <f>C48+C51-1</f>
        <v>50132.5</v>
      </c>
      <c r="E52" s="127"/>
    </row>
    <row r="53" spans="1:6" s="18" customFormat="1" ht="15" customHeight="1">
      <c r="A53" s="413"/>
      <c r="B53" s="521"/>
      <c r="C53" s="122"/>
      <c r="D53" s="492"/>
      <c r="E53" s="127"/>
      <c r="F53" s="114"/>
    </row>
    <row r="54" spans="1:6" s="18" customFormat="1" ht="15" customHeight="1">
      <c r="A54" s="414" t="s">
        <v>469</v>
      </c>
      <c r="B54" s="523"/>
      <c r="C54" s="524"/>
      <c r="D54" s="941">
        <f>D47+D52</f>
        <v>1102959.78</v>
      </c>
      <c r="E54" s="791"/>
      <c r="F54" s="340"/>
    </row>
    <row r="55" spans="1:4" s="18" customFormat="1" ht="15" customHeight="1">
      <c r="A55" s="415"/>
      <c r="B55" s="304"/>
      <c r="C55" s="304"/>
      <c r="D55" s="810"/>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Akleema Satar</cp:lastModifiedBy>
  <cp:lastPrinted>2004-11-16T16:43:59Z</cp:lastPrinted>
  <dcterms:created xsi:type="dcterms:W3CDTF">1999-07-28T13:02:54Z</dcterms:created>
  <dcterms:modified xsi:type="dcterms:W3CDTF">2004-11-16T16:45:32Z</dcterms:modified>
  <cp:category/>
  <cp:version/>
  <cp:contentType/>
  <cp:contentStatus/>
</cp:coreProperties>
</file>